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mc:AlternateContent xmlns:mc="http://schemas.openxmlformats.org/markup-compatibility/2006">
    <mc:Choice Requires="x15">
      <x15ac:absPath xmlns:x15ac="http://schemas.microsoft.com/office/spreadsheetml/2010/11/ac" url="C:\Users\charly.clarke\Downloads\"/>
    </mc:Choice>
  </mc:AlternateContent>
  <xr:revisionPtr revIDLastSave="0" documentId="13_ncr:1_{E7AAB567-916A-446A-ABAE-941EBD6671BF}" xr6:coauthVersionLast="47" xr6:coauthVersionMax="47" xr10:uidLastSave="{00000000-0000-0000-0000-000000000000}"/>
  <workbookProtection workbookAlgorithmName="SHA-512" workbookHashValue="j78n2VY40GffG1kd2IiTGD+95e/5oOXZ1dGVuzSvd4o3lmPfKN0j4gWnXsJ+6wrFFCE/OiPnjLbgaf608MRJnw==" workbookSaltValue="nxxGTvJWewX1G3rxF3Og+Q==" workbookSpinCount="100000" lockStructure="1"/>
  <bookViews>
    <workbookView xWindow="28680" yWindow="450" windowWidth="29040" windowHeight="15720" tabRatio="633" xr2:uid="{42721C55-468B-4B10-BE5D-34259A0BF095}"/>
  </bookViews>
  <sheets>
    <sheet name="Cover Page" sheetId="20" r:id="rId1"/>
    <sheet name="Land Use Summary" sheetId="9" r:id="rId2"/>
    <sheet name="Allocation urban and rural" sheetId="10" r:id="rId3"/>
    <sheet name="Allocate heavy v to sectors" sheetId="4" r:id="rId4"/>
    <sheet name="Tonnages" sheetId="8" r:id="rId5"/>
    <sheet name="Aggregation of Costs" sheetId="3" r:id="rId6"/>
    <sheet name="Masterton" sheetId="18" state="hidden" r:id="rId7"/>
    <sheet name="Data sources&gt;" sheetId="11" r:id="rId8"/>
    <sheet name="Wood availability forecast " sheetId="12" r:id="rId9"/>
    <sheet name="NEFD" sheetId="14" r:id="rId10"/>
    <sheet name="New Zealand Dairy Stat 24-25" sheetId="15" r:id="rId11"/>
    <sheet name="Agricultural production stats25" sheetId="16" r:id="rId12"/>
    <sheet name="VKT " sheetId="25" r:id="rId13"/>
    <sheet name="SHLR breakdown" sheetId="21" state="hidden" r:id="rId14"/>
    <sheet name="Axle Loading" sheetId="24" state="hidden"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9" i="3" l="1"/>
  <c r="C43" i="10"/>
  <c r="D40" i="10"/>
  <c r="F40" i="10" s="1"/>
  <c r="D39" i="10"/>
  <c r="F39" i="10" s="1"/>
  <c r="D38" i="10"/>
  <c r="F38" i="10" s="1"/>
  <c r="D37" i="10"/>
  <c r="F37" i="10" s="1"/>
  <c r="D36" i="10"/>
  <c r="F36" i="10" s="1"/>
  <c r="D35" i="10"/>
  <c r="F35" i="10" s="1"/>
  <c r="D34" i="10"/>
  <c r="F34" i="10" s="1"/>
  <c r="D33" i="10"/>
  <c r="F33" i="10" s="1"/>
  <c r="D32" i="10"/>
  <c r="F32" i="10" s="1"/>
  <c r="C24" i="10"/>
  <c r="J40" i="10" l="1"/>
  <c r="I40" i="10"/>
  <c r="O40" i="10" l="1"/>
  <c r="P40" i="10"/>
  <c r="U5" i="25" l="1"/>
  <c r="U4" i="25"/>
  <c r="O5" i="8" l="1"/>
  <c r="N5" i="8"/>
  <c r="M5" i="8"/>
  <c r="B91" i="8"/>
  <c r="G93" i="8"/>
  <c r="G92" i="8"/>
  <c r="G91" i="8"/>
  <c r="C103" i="8"/>
  <c r="B10" i="8"/>
  <c r="E33" i="12"/>
  <c r="E32" i="12"/>
  <c r="D129" i="8"/>
  <c r="B60" i="9"/>
  <c r="D91" i="8"/>
  <c r="B59" i="9"/>
  <c r="B32" i="8"/>
  <c r="B34" i="8" s="1"/>
  <c r="B36" i="8" s="1"/>
  <c r="B40" i="8" s="1"/>
  <c r="B42" i="8" s="1"/>
  <c r="F60" i="10"/>
  <c r="P7" i="9" l="1"/>
  <c r="Y11" i="3"/>
  <c r="Y12" i="3"/>
  <c r="Y13" i="3"/>
  <c r="Y15" i="3"/>
  <c r="Y16" i="3"/>
  <c r="Y17" i="3"/>
  <c r="X14" i="3"/>
  <c r="X15" i="3"/>
  <c r="X17" i="3"/>
  <c r="X18" i="3"/>
  <c r="X10" i="3"/>
  <c r="U11" i="3"/>
  <c r="U12" i="3"/>
  <c r="U13" i="3"/>
  <c r="U14" i="3"/>
  <c r="U15" i="3"/>
  <c r="U16" i="3"/>
  <c r="U17" i="3"/>
  <c r="U18" i="3"/>
  <c r="U10" i="3"/>
  <c r="R23" i="3"/>
  <c r="R22" i="3"/>
  <c r="R21" i="3"/>
  <c r="R20" i="3"/>
  <c r="N34" i="3"/>
  <c r="N33" i="3"/>
  <c r="G61" i="10"/>
  <c r="G60" i="10"/>
  <c r="F61" i="10"/>
  <c r="N28" i="3"/>
  <c r="N21" i="3"/>
  <c r="N22" i="3"/>
  <c r="N23" i="3"/>
  <c r="N24" i="3"/>
  <c r="N25" i="3"/>
  <c r="N26" i="3"/>
  <c r="N27" i="3"/>
  <c r="N20" i="3"/>
  <c r="H61" i="10" l="1"/>
  <c r="H60" i="10"/>
  <c r="G62" i="10"/>
  <c r="F62" i="10"/>
  <c r="H62" i="10" l="1"/>
  <c r="M14" i="21" l="1"/>
  <c r="M13" i="21"/>
  <c r="M15" i="21" l="1"/>
  <c r="M17" i="21" s="1"/>
  <c r="P8" i="9"/>
  <c r="P9" i="9"/>
  <c r="P10" i="9"/>
  <c r="P11" i="9"/>
  <c r="P12" i="9"/>
  <c r="P13" i="9"/>
  <c r="P14" i="9"/>
  <c r="P15" i="9"/>
  <c r="P16" i="9"/>
  <c r="P17" i="9"/>
  <c r="P18" i="9"/>
  <c r="P19" i="9"/>
  <c r="P20" i="9"/>
  <c r="P21" i="9"/>
  <c r="P22" i="9"/>
  <c r="P23" i="9"/>
  <c r="P24" i="9"/>
  <c r="P25" i="9"/>
  <c r="P26" i="9"/>
  <c r="O7" i="9"/>
  <c r="Q7" i="9" s="1"/>
  <c r="E28" i="9"/>
  <c r="F28" i="9"/>
  <c r="G28" i="9"/>
  <c r="H28" i="9"/>
  <c r="I28" i="9"/>
  <c r="J28" i="9"/>
  <c r="K28" i="9"/>
  <c r="L28" i="9"/>
  <c r="M28" i="9"/>
  <c r="N28" i="9"/>
  <c r="C30" i="9" a="1"/>
  <c r="D28" i="9"/>
  <c r="O17" i="9"/>
  <c r="O18" i="9"/>
  <c r="O19" i="9"/>
  <c r="O20" i="9"/>
  <c r="O21" i="9"/>
  <c r="O22" i="9"/>
  <c r="O23" i="9"/>
  <c r="O24" i="9"/>
  <c r="O25" i="9"/>
  <c r="O26" i="9"/>
  <c r="O16" i="9"/>
  <c r="O8" i="9"/>
  <c r="O9" i="9"/>
  <c r="O10" i="9"/>
  <c r="O11" i="9"/>
  <c r="O12" i="9"/>
  <c r="O13" i="9"/>
  <c r="O14" i="9"/>
  <c r="O15" i="9"/>
  <c r="Q13" i="9" l="1"/>
  <c r="Q22" i="9"/>
  <c r="Q20" i="9"/>
  <c r="Q19" i="9"/>
  <c r="Q17" i="9"/>
  <c r="Q15" i="9"/>
  <c r="Q14" i="9"/>
  <c r="Q12" i="9"/>
  <c r="S20" i="9"/>
  <c r="Q18" i="9"/>
  <c r="Q26" i="9"/>
  <c r="Q8" i="9"/>
  <c r="C30" i="9"/>
  <c r="D30" i="9" s="1"/>
  <c r="D35" i="9"/>
  <c r="Q21" i="9"/>
  <c r="S22" i="9"/>
  <c r="Q16" i="9"/>
  <c r="Q11" i="9"/>
  <c r="Q10" i="9"/>
  <c r="Q25" i="9"/>
  <c r="Q9" i="9"/>
  <c r="Q24" i="9"/>
  <c r="Q23" i="9"/>
  <c r="M16" i="21"/>
  <c r="C48" i="9"/>
  <c r="C47" i="9"/>
  <c r="C46" i="9"/>
  <c r="C50" i="9"/>
  <c r="C45" i="9"/>
  <c r="C49" i="9"/>
  <c r="C44" i="9"/>
  <c r="P28" i="9"/>
  <c r="O28" i="9"/>
  <c r="K33" i="9"/>
  <c r="J33" i="9"/>
  <c r="F35" i="9"/>
  <c r="N31" i="9"/>
  <c r="M36" i="9"/>
  <c r="L36" i="9"/>
  <c r="E32" i="9"/>
  <c r="G35" i="9"/>
  <c r="M31" i="9"/>
  <c r="H33" i="9"/>
  <c r="M37" i="9"/>
  <c r="G36" i="9"/>
  <c r="K34" i="9"/>
  <c r="E33" i="9"/>
  <c r="L37" i="9"/>
  <c r="F36" i="9"/>
  <c r="J34" i="9"/>
  <c r="N32" i="9"/>
  <c r="E36" i="9"/>
  <c r="J37" i="9"/>
  <c r="N35" i="9"/>
  <c r="H34" i="9"/>
  <c r="L32" i="9"/>
  <c r="F31" i="9"/>
  <c r="I37" i="9"/>
  <c r="N36" i="9"/>
  <c r="H35" i="9"/>
  <c r="L33" i="9"/>
  <c r="F32" i="9"/>
  <c r="G34" i="9"/>
  <c r="K32" i="9"/>
  <c r="G37" i="9"/>
  <c r="F37" i="9"/>
  <c r="J35" i="9"/>
  <c r="N33" i="9"/>
  <c r="H32" i="9"/>
  <c r="K36" i="9"/>
  <c r="E35" i="9"/>
  <c r="I33" i="9"/>
  <c r="J36" i="9"/>
  <c r="N34" i="9"/>
  <c r="L31" i="9"/>
  <c r="I36" i="9"/>
  <c r="M34" i="9"/>
  <c r="G33" i="9"/>
  <c r="K31" i="9"/>
  <c r="N37" i="9"/>
  <c r="H36" i="9"/>
  <c r="L34" i="9"/>
  <c r="F33" i="9"/>
  <c r="J31" i="9"/>
  <c r="I31" i="9"/>
  <c r="H31" i="9"/>
  <c r="K37" i="9"/>
  <c r="I34" i="9"/>
  <c r="M32" i="9"/>
  <c r="G31" i="9"/>
  <c r="M35" i="9"/>
  <c r="E31" i="9"/>
  <c r="H37" i="9"/>
  <c r="L35" i="9"/>
  <c r="F34" i="9"/>
  <c r="J32" i="9"/>
  <c r="K35" i="9"/>
  <c r="E34" i="9"/>
  <c r="I32" i="9"/>
  <c r="E37" i="9"/>
  <c r="I35" i="9"/>
  <c r="M33" i="9"/>
  <c r="G32" i="9"/>
  <c r="D37" i="9"/>
  <c r="D36" i="9"/>
  <c r="D34" i="9"/>
  <c r="D33" i="9"/>
  <c r="D32" i="9"/>
  <c r="D31" i="9"/>
  <c r="C43" i="9" l="1"/>
  <c r="F30" i="9"/>
  <c r="F39" i="9" s="1"/>
  <c r="I30" i="9"/>
  <c r="I39" i="9" s="1"/>
  <c r="E30" i="9"/>
  <c r="E39" i="9" s="1"/>
  <c r="K30" i="9"/>
  <c r="K39" i="9" s="1"/>
  <c r="G30" i="9"/>
  <c r="G39" i="9" s="1"/>
  <c r="J30" i="9"/>
  <c r="J39" i="9" s="1"/>
  <c r="M30" i="9"/>
  <c r="M39" i="9" s="1"/>
  <c r="H30" i="9"/>
  <c r="L30" i="9"/>
  <c r="L39" i="9" s="1"/>
  <c r="N30" i="9"/>
  <c r="N39" i="9" s="1"/>
  <c r="P37" i="9"/>
  <c r="P36" i="9"/>
  <c r="P35" i="9"/>
  <c r="P31" i="9"/>
  <c r="P32" i="9"/>
  <c r="P33" i="9"/>
  <c r="P34" i="9"/>
  <c r="O32" i="9"/>
  <c r="J45" i="9" s="1"/>
  <c r="O31" i="9"/>
  <c r="N44" i="9" s="1"/>
  <c r="O37" i="9"/>
  <c r="I50" i="9" s="1"/>
  <c r="O35" i="9"/>
  <c r="O33" i="9"/>
  <c r="J46" i="9" s="1"/>
  <c r="O34" i="9"/>
  <c r="O36" i="9"/>
  <c r="F49" i="9" s="1"/>
  <c r="D39" i="9"/>
  <c r="P30" i="9" l="1"/>
  <c r="P39" i="9" s="1"/>
  <c r="H39" i="9"/>
  <c r="O30" i="9"/>
  <c r="G43" i="9" s="1"/>
  <c r="F48" i="9"/>
  <c r="D48" i="9"/>
  <c r="L49" i="9"/>
  <c r="I46" i="9"/>
  <c r="N49" i="9"/>
  <c r="I44" i="9"/>
  <c r="N48" i="9"/>
  <c r="G46" i="9"/>
  <c r="L46" i="9"/>
  <c r="G48" i="9"/>
  <c r="E48" i="9"/>
  <c r="L48" i="9"/>
  <c r="H50" i="9"/>
  <c r="G49" i="9"/>
  <c r="M46" i="9"/>
  <c r="H46" i="9"/>
  <c r="L50" i="9"/>
  <c r="F44" i="9"/>
  <c r="J44" i="9"/>
  <c r="K44" i="9"/>
  <c r="E49" i="9"/>
  <c r="M44" i="9"/>
  <c r="N50" i="9"/>
  <c r="H49" i="9"/>
  <c r="K49" i="9"/>
  <c r="J49" i="9"/>
  <c r="D47" i="9"/>
  <c r="H47" i="9"/>
  <c r="G47" i="9"/>
  <c r="H45" i="9"/>
  <c r="L47" i="9"/>
  <c r="L45" i="9"/>
  <c r="M48" i="9"/>
  <c r="D50" i="9"/>
  <c r="K48" i="9"/>
  <c r="F50" i="9"/>
  <c r="M50" i="9"/>
  <c r="D46" i="9"/>
  <c r="E47" i="9"/>
  <c r="F46" i="9"/>
  <c r="H48" i="9"/>
  <c r="I45" i="9"/>
  <c r="N47" i="9"/>
  <c r="K45" i="9"/>
  <c r="K47" i="9"/>
  <c r="E46" i="9"/>
  <c r="H44" i="9"/>
  <c r="E50" i="9"/>
  <c r="M47" i="9"/>
  <c r="D45" i="9"/>
  <c r="G44" i="9"/>
  <c r="K50" i="9"/>
  <c r="I48" i="9"/>
  <c r="E44" i="9"/>
  <c r="N45" i="9"/>
  <c r="M45" i="9"/>
  <c r="J48" i="9"/>
  <c r="L44" i="9"/>
  <c r="I47" i="9"/>
  <c r="J50" i="9"/>
  <c r="J47" i="9"/>
  <c r="D44" i="9"/>
  <c r="N46" i="9"/>
  <c r="K46" i="9"/>
  <c r="G45" i="9"/>
  <c r="F45" i="9"/>
  <c r="F47" i="9"/>
  <c r="D49" i="9"/>
  <c r="E45" i="9"/>
  <c r="I49" i="9"/>
  <c r="G50" i="9"/>
  <c r="M49" i="9"/>
  <c r="M43" i="9" l="1"/>
  <c r="E43" i="9"/>
  <c r="N43" i="9"/>
  <c r="J43" i="9"/>
  <c r="F43" i="9"/>
  <c r="H43" i="9"/>
  <c r="L43" i="9"/>
  <c r="I43" i="9"/>
  <c r="O39" i="9"/>
  <c r="K43" i="9"/>
  <c r="D43" i="9"/>
  <c r="P48" i="9"/>
  <c r="F155" i="8" s="1"/>
  <c r="P47" i="9"/>
  <c r="F109" i="8" s="1"/>
  <c r="P50" i="9"/>
  <c r="P44" i="9"/>
  <c r="P49" i="9"/>
  <c r="P46" i="9"/>
  <c r="P45" i="9"/>
  <c r="O48" i="9"/>
  <c r="O46" i="9"/>
  <c r="O49" i="9"/>
  <c r="O50" i="9"/>
  <c r="O47" i="9"/>
  <c r="O45" i="9"/>
  <c r="O44" i="9"/>
  <c r="O43" i="9" l="1"/>
  <c r="P43" i="9"/>
  <c r="J39" i="10" l="1"/>
  <c r="I39" i="10"/>
  <c r="O39" i="10" l="1"/>
  <c r="P39" i="10"/>
  <c r="D42" i="10" l="1"/>
  <c r="D41" i="10"/>
  <c r="D13" i="10"/>
  <c r="D14" i="10"/>
  <c r="D15" i="10"/>
  <c r="D16" i="10"/>
  <c r="D17" i="10"/>
  <c r="D18" i="10"/>
  <c r="D19" i="10"/>
  <c r="D20" i="10"/>
  <c r="D21" i="10"/>
  <c r="D22" i="10"/>
  <c r="D23" i="10"/>
  <c r="D24" i="10"/>
  <c r="F24" i="10" s="1"/>
  <c r="D25" i="10"/>
  <c r="D26" i="10"/>
  <c r="D27" i="10"/>
  <c r="D12" i="10"/>
  <c r="F12" i="10" s="1"/>
  <c r="I13" i="3"/>
  <c r="I11" i="3"/>
  <c r="D7" i="3"/>
  <c r="D8" i="3"/>
  <c r="D9" i="3"/>
  <c r="D10" i="3"/>
  <c r="O34" i="3" s="1"/>
  <c r="D11" i="3"/>
  <c r="D12" i="3"/>
  <c r="D13" i="3"/>
  <c r="D14" i="3"/>
  <c r="D6" i="3"/>
  <c r="O33" i="3" s="1"/>
  <c r="C7" i="3"/>
  <c r="C8" i="3"/>
  <c r="C9" i="3"/>
  <c r="C10" i="3"/>
  <c r="V14" i="3" s="1"/>
  <c r="C11" i="3"/>
  <c r="V15" i="3" s="1"/>
  <c r="C12" i="3"/>
  <c r="V16" i="3" s="1"/>
  <c r="C13" i="3"/>
  <c r="V17" i="3" s="1"/>
  <c r="C14" i="3"/>
  <c r="V18" i="3" s="1"/>
  <c r="C6" i="3"/>
  <c r="B11" i="4"/>
  <c r="B7" i="4"/>
  <c r="A165" i="8"/>
  <c r="A166" i="8"/>
  <c r="A164" i="8"/>
  <c r="A157" i="8"/>
  <c r="A158" i="8"/>
  <c r="A156" i="8"/>
  <c r="C145" i="8"/>
  <c r="D145" i="8" s="1"/>
  <c r="D128" i="8"/>
  <c r="A121" i="8"/>
  <c r="A122" i="8"/>
  <c r="A120" i="8"/>
  <c r="A116" i="8"/>
  <c r="A117" i="8"/>
  <c r="A115" i="8"/>
  <c r="A110" i="8"/>
  <c r="A111" i="8"/>
  <c r="A109" i="8"/>
  <c r="J12" i="10" l="1"/>
  <c r="I12" i="10"/>
  <c r="O35" i="3"/>
  <c r="V10" i="3"/>
  <c r="V11" i="3"/>
  <c r="V13" i="3"/>
  <c r="V12" i="3"/>
  <c r="D15" i="3"/>
  <c r="C15" i="3"/>
  <c r="B6" i="3" s="1"/>
  <c r="O20" i="3" s="1"/>
  <c r="B16" i="4"/>
  <c r="D103" i="8"/>
  <c r="B103" i="8"/>
  <c r="B11" i="3" l="1"/>
  <c r="O25" i="3" s="1"/>
  <c r="B12" i="3"/>
  <c r="O26" i="3" s="1"/>
  <c r="B8" i="3"/>
  <c r="O22" i="3" s="1"/>
  <c r="B10" i="3"/>
  <c r="O24" i="3" s="1"/>
  <c r="B13" i="3"/>
  <c r="O27" i="3" s="1"/>
  <c r="B14" i="3"/>
  <c r="O28" i="3" s="1"/>
  <c r="B9" i="3"/>
  <c r="O23" i="3" s="1"/>
  <c r="B7" i="3"/>
  <c r="O21" i="3" s="1"/>
  <c r="B93" i="8"/>
  <c r="B92" i="8"/>
  <c r="D93" i="8"/>
  <c r="D92" i="8"/>
  <c r="O29" i="3" l="1"/>
  <c r="A63" i="8" l="1"/>
  <c r="C63" i="8"/>
  <c r="D63" i="8"/>
  <c r="D60" i="8"/>
  <c r="C60" i="8"/>
  <c r="B60" i="8"/>
  <c r="B63" i="8"/>
  <c r="A53" i="8"/>
  <c r="A54" i="8"/>
  <c r="A52" i="8"/>
  <c r="A23" i="8"/>
  <c r="A24" i="8"/>
  <c r="A22" i="8"/>
  <c r="A17" i="8" l="1"/>
  <c r="A18" i="8"/>
  <c r="A16" i="8"/>
  <c r="A13" i="8"/>
  <c r="A14" i="8"/>
  <c r="A12" i="8"/>
  <c r="E50" i="10"/>
  <c r="E52" i="10"/>
  <c r="D51" i="10"/>
  <c r="N32" i="10" s="1"/>
  <c r="D49" i="10"/>
  <c r="N35" i="10" l="1"/>
  <c r="N33" i="10"/>
  <c r="M12" i="10"/>
  <c r="M33" i="10"/>
  <c r="M35" i="10"/>
  <c r="M13" i="10"/>
  <c r="M32" i="10"/>
  <c r="D54" i="10"/>
  <c r="N12" i="10"/>
  <c r="N13" i="10"/>
  <c r="E54" i="10"/>
  <c r="E53" i="10"/>
  <c r="D53" i="10"/>
  <c r="B53" i="10"/>
  <c r="C52" i="10" l="1"/>
  <c r="C51" i="10"/>
  <c r="C49" i="10"/>
  <c r="C50" i="10"/>
  <c r="F41" i="10"/>
  <c r="F42" i="10"/>
  <c r="C28" i="10"/>
  <c r="F13" i="10"/>
  <c r="I13" i="10" s="1"/>
  <c r="F14" i="10"/>
  <c r="F15" i="10"/>
  <c r="J15" i="10" s="1"/>
  <c r="F16" i="10"/>
  <c r="I16" i="10" s="1"/>
  <c r="F17" i="10"/>
  <c r="J17" i="10" s="1"/>
  <c r="F18" i="10"/>
  <c r="F19" i="10"/>
  <c r="I19" i="10" s="1"/>
  <c r="F20" i="10"/>
  <c r="J20" i="10" s="1"/>
  <c r="F21" i="10"/>
  <c r="J21" i="10" s="1"/>
  <c r="F22" i="10"/>
  <c r="I22" i="10" s="1"/>
  <c r="F23" i="10"/>
  <c r="I23" i="10" s="1"/>
  <c r="I24" i="10"/>
  <c r="C62" i="10" l="1"/>
  <c r="C61" i="10"/>
  <c r="C60" i="10"/>
  <c r="M36" i="10" s="1"/>
  <c r="C63" i="10"/>
  <c r="C53" i="10"/>
  <c r="C54" i="10"/>
  <c r="I14" i="10"/>
  <c r="J14" i="10"/>
  <c r="J22" i="10"/>
  <c r="I21" i="10"/>
  <c r="I17" i="10"/>
  <c r="I15" i="10"/>
  <c r="J24" i="10"/>
  <c r="I20" i="10"/>
  <c r="J13" i="10"/>
  <c r="J23" i="10"/>
  <c r="J19" i="10"/>
  <c r="J16" i="10"/>
  <c r="J18" i="10"/>
  <c r="I18" i="10"/>
  <c r="L5" i="8"/>
  <c r="K5" i="8"/>
  <c r="J5" i="8"/>
  <c r="I5" i="8"/>
  <c r="H5" i="8"/>
  <c r="G5" i="8"/>
  <c r="F5" i="8"/>
  <c r="E5" i="8"/>
  <c r="D5" i="8"/>
  <c r="C5" i="8"/>
  <c r="E21" i="12"/>
  <c r="E23" i="12"/>
  <c r="E24" i="12"/>
  <c r="E25" i="12"/>
  <c r="E26" i="12"/>
  <c r="E27" i="12"/>
  <c r="E28" i="12"/>
  <c r="E29" i="12"/>
  <c r="E30" i="12"/>
  <c r="E31" i="12"/>
  <c r="E22" i="12"/>
  <c r="N14" i="10" l="1"/>
  <c r="N36" i="10"/>
  <c r="B5" i="8"/>
  <c r="N15" i="10"/>
  <c r="N34" i="10"/>
  <c r="M34" i="10"/>
  <c r="M14" i="10"/>
  <c r="M15" i="10"/>
  <c r="I42" i="10" l="1"/>
  <c r="P42" i="10" s="1"/>
  <c r="J41" i="10"/>
  <c r="J37" i="10"/>
  <c r="J36" i="10"/>
  <c r="J35" i="10"/>
  <c r="J34" i="10"/>
  <c r="I33" i="10"/>
  <c r="P23" i="10"/>
  <c r="D59" i="9"/>
  <c r="B49" i="8" s="1"/>
  <c r="D60" i="9"/>
  <c r="B158" i="8" s="1"/>
  <c r="D61" i="9"/>
  <c r="D58" i="9"/>
  <c r="B111" i="8" s="1"/>
  <c r="C59" i="9"/>
  <c r="B48" i="8" s="1"/>
  <c r="C58" i="9"/>
  <c r="B110" i="8" s="1"/>
  <c r="C60" i="9"/>
  <c r="C61" i="9"/>
  <c r="B47" i="8"/>
  <c r="B156" i="8"/>
  <c r="B61" i="9"/>
  <c r="B58" i="9"/>
  <c r="B109" i="8" s="1"/>
  <c r="D114" i="9"/>
  <c r="E114" i="9"/>
  <c r="F114" i="9"/>
  <c r="C114" i="9"/>
  <c r="B157" i="8" l="1"/>
  <c r="E60" i="9"/>
  <c r="F154" i="8" s="1"/>
  <c r="D43" i="10"/>
  <c r="F43" i="10"/>
  <c r="J32" i="10"/>
  <c r="P16" i="10"/>
  <c r="J42" i="10"/>
  <c r="O13" i="10"/>
  <c r="O14" i="10"/>
  <c r="P21" i="10"/>
  <c r="P12" i="10"/>
  <c r="O20" i="10"/>
  <c r="P20" i="10"/>
  <c r="P14" i="10"/>
  <c r="O12" i="10"/>
  <c r="O33" i="10"/>
  <c r="I41" i="10"/>
  <c r="I37" i="10"/>
  <c r="O37" i="10" s="1"/>
  <c r="I35" i="10"/>
  <c r="O23" i="10"/>
  <c r="J33" i="10"/>
  <c r="O42" i="10"/>
  <c r="I32" i="10"/>
  <c r="P32" i="10" s="1"/>
  <c r="I34" i="10"/>
  <c r="O34" i="10" s="1"/>
  <c r="I36" i="10"/>
  <c r="D62" i="9"/>
  <c r="B62" i="9"/>
  <c r="C62" i="9"/>
  <c r="E61" i="9"/>
  <c r="H61" i="9" s="1"/>
  <c r="E59" i="9"/>
  <c r="H59" i="9" s="1"/>
  <c r="E58" i="9"/>
  <c r="F156" i="8" l="1"/>
  <c r="B153" i="8" s="1"/>
  <c r="G59" i="9"/>
  <c r="G61" i="9"/>
  <c r="F61" i="9"/>
  <c r="I38" i="10"/>
  <c r="I43" i="10" s="1"/>
  <c r="G60" i="9"/>
  <c r="B154" i="8"/>
  <c r="H60" i="9"/>
  <c r="F58" i="9"/>
  <c r="B108" i="8"/>
  <c r="F59" i="9"/>
  <c r="B44" i="8"/>
  <c r="B52" i="8" s="1"/>
  <c r="J38" i="10"/>
  <c r="J43" i="10" s="1"/>
  <c r="F45" i="10"/>
  <c r="O32" i="10"/>
  <c r="O35" i="10"/>
  <c r="P15" i="10"/>
  <c r="O16" i="10"/>
  <c r="O21" i="10"/>
  <c r="P35" i="10"/>
  <c r="O15" i="10"/>
  <c r="P34" i="10"/>
  <c r="P37" i="10"/>
  <c r="P19" i="10"/>
  <c r="O19" i="10"/>
  <c r="P41" i="10"/>
  <c r="O41" i="10"/>
  <c r="O22" i="10"/>
  <c r="P22" i="10"/>
  <c r="O36" i="10"/>
  <c r="P36" i="10"/>
  <c r="P17" i="10"/>
  <c r="O17" i="10"/>
  <c r="H58" i="9"/>
  <c r="F60" i="9"/>
  <c r="G58" i="9"/>
  <c r="E62" i="9"/>
  <c r="I58" i="9" s="1"/>
  <c r="B112" i="8" l="1"/>
  <c r="F108" i="8"/>
  <c r="F110" i="8" s="1"/>
  <c r="B107" i="8" s="1"/>
  <c r="O38" i="10"/>
  <c r="O43" i="10" s="1"/>
  <c r="P38" i="10"/>
  <c r="F62" i="9"/>
  <c r="I59" i="9"/>
  <c r="G62" i="9"/>
  <c r="H62" i="9"/>
  <c r="I60" i="9"/>
  <c r="I61" i="9"/>
  <c r="B50" i="8"/>
  <c r="B53" i="8"/>
  <c r="B54" i="8"/>
  <c r="B159" i="8"/>
  <c r="B15" i="3"/>
  <c r="B16" i="3" s="1"/>
  <c r="P33" i="10"/>
  <c r="P13" i="10"/>
  <c r="P43" i="10" l="1"/>
  <c r="I62" i="9"/>
  <c r="B55" i="8"/>
  <c r="C98" i="9"/>
  <c r="E98" i="9"/>
  <c r="F98" i="9"/>
  <c r="D98" i="9"/>
  <c r="E82" i="9"/>
  <c r="F82" i="9"/>
  <c r="C82" i="9"/>
  <c r="D16" i="3" s="1"/>
  <c r="D82" i="9"/>
  <c r="C16" i="3" s="1"/>
  <c r="B104" i="8" l="1"/>
  <c r="B65" i="8" l="1"/>
  <c r="B68" i="8" l="1"/>
  <c r="B70" i="8" s="1"/>
  <c r="C13" i="4" s="1"/>
  <c r="B23" i="4" s="1"/>
  <c r="D68" i="8"/>
  <c r="D70" i="8" s="1"/>
  <c r="C68" i="8"/>
  <c r="C70" i="8" s="1"/>
  <c r="C148" i="8" l="1"/>
  <c r="D148" i="8" s="1"/>
  <c r="C147" i="8"/>
  <c r="D147" i="8" s="1"/>
  <c r="C146" i="8"/>
  <c r="D146" i="8" s="1"/>
  <c r="C144" i="8"/>
  <c r="D144" i="8" s="1"/>
  <c r="C143" i="8"/>
  <c r="D143" i="8" s="1"/>
  <c r="C142" i="8"/>
  <c r="D142" i="8" s="1"/>
  <c r="C136" i="8"/>
  <c r="D136" i="8" s="1"/>
  <c r="C135" i="8"/>
  <c r="D135" i="8" s="1"/>
  <c r="C134" i="8"/>
  <c r="D134" i="8" s="1"/>
  <c r="C133" i="8"/>
  <c r="D133" i="8" s="1"/>
  <c r="C132" i="8"/>
  <c r="D132" i="8" s="1"/>
  <c r="C131" i="8"/>
  <c r="D130" i="8"/>
  <c r="C104" i="8"/>
  <c r="B105" i="8" s="1"/>
  <c r="B115" i="8" s="1"/>
  <c r="B120" i="8" s="1"/>
  <c r="B9" i="8"/>
  <c r="B8" i="8"/>
  <c r="B116" i="8" l="1"/>
  <c r="B121" i="8" s="1"/>
  <c r="B12" i="8"/>
  <c r="B117" i="8"/>
  <c r="B122" i="8" s="1"/>
  <c r="B13" i="8"/>
  <c r="B17" i="8" s="1"/>
  <c r="B23" i="8" s="1"/>
  <c r="B14" i="8"/>
  <c r="B18" i="8" s="1"/>
  <c r="B24" i="8" s="1"/>
  <c r="C137" i="8"/>
  <c r="C138" i="8" s="1"/>
  <c r="D138" i="8" s="1"/>
  <c r="D131" i="8"/>
  <c r="D149" i="8"/>
  <c r="B16" i="8" l="1"/>
  <c r="B22" i="8" s="1"/>
  <c r="C10" i="4" s="1"/>
  <c r="B22" i="4" s="1"/>
  <c r="C9" i="4"/>
  <c r="D137" i="8"/>
  <c r="D139" i="8" s="1"/>
  <c r="D151" i="8" s="1"/>
  <c r="B164" i="8" s="1"/>
  <c r="C8" i="4" l="1"/>
  <c r="B20" i="4" s="1"/>
  <c r="B166" i="8"/>
  <c r="B165" i="8"/>
  <c r="B162" i="8"/>
  <c r="B21" i="4"/>
  <c r="C16" i="4" l="1"/>
  <c r="F26" i="10" l="1"/>
  <c r="J26" i="10" l="1"/>
  <c r="I26" i="10"/>
  <c r="O26" i="10" s="1"/>
  <c r="F27" i="10"/>
  <c r="P26" i="10" l="1"/>
  <c r="J27" i="10"/>
  <c r="I27" i="10"/>
  <c r="O27" i="10" s="1"/>
  <c r="P27" i="10" l="1"/>
  <c r="F25" i="10"/>
  <c r="D28" i="10"/>
  <c r="F28" i="10" l="1"/>
  <c r="F30" i="10" s="1"/>
  <c r="J25" i="10"/>
  <c r="J28" i="10" s="1"/>
  <c r="I25" i="10"/>
  <c r="I28" i="10" s="1"/>
  <c r="I45" i="10" s="1"/>
  <c r="C67" i="10" s="1"/>
  <c r="E67" i="10" s="1"/>
  <c r="J45" i="10" l="1"/>
  <c r="C66" i="10" s="1"/>
  <c r="P25" i="10"/>
  <c r="P28" i="10" s="1"/>
  <c r="P45" i="10" s="1"/>
  <c r="F16" i="4" s="1"/>
  <c r="O25" i="10"/>
  <c r="O28" i="10" s="1"/>
  <c r="O45" i="10" s="1"/>
  <c r="D16" i="4" s="1"/>
  <c r="B66" i="10" l="1"/>
  <c r="E66" i="10"/>
  <c r="E15" i="3"/>
  <c r="E13" i="3" s="1"/>
  <c r="F13" i="3" s="1"/>
  <c r="W17" i="3" s="1"/>
  <c r="B67" i="10"/>
  <c r="E9" i="4"/>
  <c r="G8" i="3" s="1"/>
  <c r="I8" i="3" s="1"/>
  <c r="E10" i="4"/>
  <c r="G9" i="3" s="1"/>
  <c r="G15" i="4"/>
  <c r="H14" i="3" s="1"/>
  <c r="Y18" i="3" s="1"/>
  <c r="G7" i="4"/>
  <c r="H6" i="3" s="1"/>
  <c r="E13" i="4"/>
  <c r="G12" i="3" s="1"/>
  <c r="E8" i="4"/>
  <c r="G7" i="3" s="1"/>
  <c r="G11" i="4"/>
  <c r="H10" i="3" s="1"/>
  <c r="E11" i="3" l="1"/>
  <c r="F11" i="3" s="1"/>
  <c r="W15" i="3" s="1"/>
  <c r="E7" i="3"/>
  <c r="F7" i="3" s="1"/>
  <c r="P21" i="3" s="1"/>
  <c r="E12" i="3"/>
  <c r="F12" i="3" s="1"/>
  <c r="P26" i="3" s="1"/>
  <c r="E14" i="3"/>
  <c r="F14" i="3" s="1"/>
  <c r="W18" i="3" s="1"/>
  <c r="E9" i="3"/>
  <c r="F9" i="3" s="1"/>
  <c r="W13" i="3" s="1"/>
  <c r="F15" i="3"/>
  <c r="E10" i="3"/>
  <c r="F10" i="3" s="1"/>
  <c r="P24" i="3" s="1"/>
  <c r="E6" i="3"/>
  <c r="F6" i="3" s="1"/>
  <c r="W10" i="3" s="1"/>
  <c r="E8" i="3"/>
  <c r="F8" i="3" s="1"/>
  <c r="W12" i="3" s="1"/>
  <c r="I14" i="3"/>
  <c r="S21" i="3"/>
  <c r="X12" i="3"/>
  <c r="I10" i="3"/>
  <c r="P34" i="3"/>
  <c r="Y14" i="3"/>
  <c r="I9" i="3"/>
  <c r="X13" i="3"/>
  <c r="S22" i="3"/>
  <c r="I7" i="3"/>
  <c r="X11" i="3"/>
  <c r="S20" i="3"/>
  <c r="I6" i="3"/>
  <c r="P33" i="3"/>
  <c r="Y10" i="3"/>
  <c r="I12" i="3"/>
  <c r="X16" i="3"/>
  <c r="S23" i="3"/>
  <c r="J13" i="3"/>
  <c r="Z17" i="3" s="1"/>
  <c r="P27" i="3"/>
  <c r="E16" i="4"/>
  <c r="G15" i="3"/>
  <c r="B20" i="3" s="1"/>
  <c r="G16" i="4"/>
  <c r="J8" i="3" l="1"/>
  <c r="Z12" i="3" s="1"/>
  <c r="W11" i="3"/>
  <c r="J7" i="3"/>
  <c r="Z11" i="3" s="1"/>
  <c r="P23" i="3"/>
  <c r="J10" i="3"/>
  <c r="Z14" i="3" s="1"/>
  <c r="J9" i="3"/>
  <c r="Z13" i="3" s="1"/>
  <c r="J11" i="3"/>
  <c r="Z15" i="3" s="1"/>
  <c r="P25" i="3"/>
  <c r="W14" i="3"/>
  <c r="J14" i="3"/>
  <c r="Z18" i="3" s="1"/>
  <c r="J6" i="3"/>
  <c r="Z10" i="3" s="1"/>
  <c r="P22" i="3"/>
  <c r="P28" i="3"/>
  <c r="W16" i="3"/>
  <c r="J12" i="3"/>
  <c r="Z16" i="3" s="1"/>
  <c r="P20" i="3"/>
  <c r="P35" i="3"/>
  <c r="X19" i="3"/>
  <c r="S24" i="3"/>
  <c r="Y19" i="3"/>
  <c r="I15" i="3"/>
  <c r="G16" i="3"/>
  <c r="P29" i="3" l="1"/>
  <c r="Z19" i="3"/>
  <c r="W19" i="3"/>
  <c r="H15" i="3" l="1"/>
  <c r="C20" i="3" s="1"/>
  <c r="H16" i="3" l="1"/>
  <c r="J15" i="3" l="1"/>
  <c r="L6" i="3" l="1"/>
  <c r="AA10" i="3" s="1"/>
  <c r="L9" i="3"/>
  <c r="AA13" i="3" s="1"/>
  <c r="L8" i="3"/>
  <c r="AA12" i="3" s="1"/>
  <c r="L10" i="3"/>
  <c r="AA14" i="3" s="1"/>
  <c r="L13" i="3"/>
  <c r="AA17" i="3" s="1"/>
  <c r="L11" i="3"/>
  <c r="AA15" i="3" s="1"/>
  <c r="L12" i="3"/>
  <c r="AA16" i="3" s="1"/>
  <c r="L14" i="3"/>
  <c r="AA18" i="3" s="1"/>
  <c r="L7" i="3"/>
  <c r="AA11" i="3" s="1"/>
  <c r="AA19" i="3" l="1"/>
  <c r="L15" i="3"/>
  <c r="L1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tc={860361DE-B5B3-4A6A-9796-9331D5302716}</author>
    <author>tc={BF16733C-10D5-4394-B1A6-811B57B9B54B}</author>
    <author>tc={49F322FB-BBAF-4EDF-A8A4-043ACD246E83}</author>
    <author>tc={19744BD2-478E-4A25-BDC5-CA8F681A3FF9}</author>
    <author>tc={01556224-3AA8-44A6-8316-E696DFFDB0F4}</author>
    <author>tc={70982EF5-F9EB-40B7-B2FB-BC2D02666D59}</author>
    <author>tc={F0124BBB-D156-48F8-8AD0-E210FDA6EC13}</author>
    <author>tc={B805E7EB-BE40-4417-8F42-B60D616F8793}</author>
    <author>tc={6F226788-C663-4267-A589-343AA4AD6E5A}</author>
    <author>tc={2A521CD6-BA59-4214-9F02-0D238D43AEF7}</author>
    <author>tc={2CBF7EAB-2929-4B6E-A91E-6EA9F68B667D}</author>
    <author>tc={0A32807E-B968-4842-BD3B-81D4A75FD89F}</author>
  </authors>
  <commentList>
    <comment ref="G12" authorId="0" shapeId="0" xr:uid="{860361DE-B5B3-4A6A-9796-9331D5302716}">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G13" authorId="1" shapeId="0" xr:uid="{BF16733C-10D5-4394-B1A6-811B57B9B54B}">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G14" authorId="2" shapeId="0" xr:uid="{49F322FB-BBAF-4EDF-A8A4-043ACD246E83}">
      <text>
        <t>[Threaded comment]
Your version of Excel allows you to read this threaded comment; however, any edits to it will get removed if the file is opened in a newer version of Excel. Learn more: https://go.microsoft.com/fwlink/?linkid=870924
Comment:
    Based on VKT</t>
      </text>
    </comment>
    <comment ref="G15" authorId="3" shapeId="0" xr:uid="{19744BD2-478E-4A25-BDC5-CA8F681A3FF9}">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C24" authorId="4" shapeId="0" xr:uid="{01556224-3AA8-44A6-8316-E696DFFDB0F4}">
      <text>
        <t>[Threaded comment]
Your version of Excel allows you to read this threaded comment; however, any edits to it will get removed if the file is opened in a newer version of Excel. Learn more: https://go.microsoft.com/fwlink/?linkid=870924
Comment:
    Includes $15,000 of budgeted costs under NZTA recovery so assumption of 100% recovery from NZTA for SH items</t>
      </text>
    </comment>
    <comment ref="H28" authorId="5" shapeId="0" xr:uid="{70982EF5-F9EB-40B7-B2FB-BC2D02666D59}">
      <text>
        <t>[Threaded comment]
Your version of Excel allows you to read this threaded comment; however, any edits to it will get removed if the file is opened in a newer version of Excel. Learn more: https://go.microsoft.com/fwlink/?linkid=870924
Comment:
    This is based on NZTA data on RUC cost splits this may be different and you have a council source that might fit better this can be updated.</t>
      </text>
    </comment>
    <comment ref="G32" authorId="6" shapeId="0" xr:uid="{F0124BBB-D156-48F8-8AD0-E210FDA6EC13}">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G33" authorId="7" shapeId="0" xr:uid="{B805E7EB-BE40-4417-8F42-B60D616F8793}">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G34" authorId="8" shapeId="0" xr:uid="{6F226788-C663-4267-A589-343AA4AD6E5A}">
      <text>
        <t>[Threaded comment]
Your version of Excel allows you to read this threaded comment; however, any edits to it will get removed if the file is opened in a newer version of Excel. Learn more: https://go.microsoft.com/fwlink/?linkid=870924
Comment:
    Based on VKT</t>
      </text>
    </comment>
    <comment ref="G35" authorId="9" shapeId="0" xr:uid="{2A521CD6-BA59-4214-9F02-0D238D43AEF7}">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G36" authorId="10" shapeId="0" xr:uid="{2CBF7EAB-2929-4B6E-A91E-6EA9F68B667D}">
      <text>
        <t xml:space="preserve">[Threaded comment]
Your version of Excel allows you to read this threaded comment; however, any edits to it will get removed if the file is opened in a newer version of Excel. Learn more: https://go.microsoft.com/fwlink/?linkid=870924
Comment:
    This is driven off the Te Manatū Waka (2022) Background to the road user charges (RUC) system </t>
      </text>
    </comment>
    <comment ref="H43" authorId="11" shapeId="0" xr:uid="{0A32807E-B968-4842-BD3B-81D4A75FD89F}">
      <text>
        <t>[Threaded comment]
Your version of Excel allows you to read this threaded comment; however, any edits to it will get removed if the file is opened in a newer version of Excel. Learn more: https://go.microsoft.com/fwlink/?linkid=870924
Comment:
    This is based on NZTA data on RUC cost splits this may be different and you have a council source that might fit better this can be updated.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Stuart Cross</author>
  </authors>
  <commentList>
    <comment ref="B104" authorId="0" shapeId="0" xr:uid="{00000000-0006-0000-0300-000001000000}">
      <text>
        <r>
          <rPr>
            <b/>
            <sz val="9"/>
            <color indexed="81"/>
            <rFont val="Tahoma"/>
            <family val="2"/>
          </rPr>
          <t>Stuart Cross:</t>
        </r>
        <r>
          <rPr>
            <sz val="9"/>
            <color indexed="81"/>
            <rFont val="Tahoma"/>
            <family val="2"/>
          </rPr>
          <t xml:space="preserve">
http://agriculture.vic.gov.au/agriculture/livestock/goats/production/meat-and-offal-yields-of-goats</t>
        </r>
      </text>
    </comment>
    <comment ref="C104" authorId="0" shapeId="0" xr:uid="{00000000-0006-0000-0300-000002000000}">
      <text>
        <r>
          <rPr>
            <b/>
            <sz val="9"/>
            <color indexed="81"/>
            <rFont val="Tahoma"/>
            <family val="2"/>
          </rPr>
          <t>Stuart Cross:</t>
        </r>
        <r>
          <rPr>
            <sz val="9"/>
            <color indexed="81"/>
            <rFont val="Tahoma"/>
            <family val="2"/>
          </rPr>
          <t xml:space="preserve">
A review of dressing out percentage in New Zealand Livestock, Muir P.D. &amp; Thomson B.C., 2008, pg 17.
Average ewe pasture weight across 5 studies (6 weights).  </t>
        </r>
      </text>
    </comment>
    <comment ref="D104" authorId="0" shapeId="0" xr:uid="{00000000-0006-0000-0300-000003000000}">
      <text>
        <r>
          <rPr>
            <b/>
            <sz val="9"/>
            <color indexed="81"/>
            <rFont val="Tahoma"/>
            <family val="2"/>
          </rPr>
          <t>Stuart Cross:</t>
        </r>
        <r>
          <rPr>
            <sz val="9"/>
            <color indexed="81"/>
            <rFont val="Tahoma"/>
            <family val="2"/>
          </rPr>
          <t xml:space="preserve">
</t>
        </r>
        <r>
          <rPr>
            <i/>
            <sz val="9"/>
            <color indexed="81"/>
            <rFont val="Tahoma"/>
            <family val="2"/>
          </rPr>
          <t>A review of dressing out percentage in New Zealand Livestock, Muir P.D. &amp; Thomson B.C., 2008, pg 13 - Average percentage of Liveweight off pasture all breeds</t>
        </r>
      </text>
    </comment>
    <comment ref="C137" authorId="0" shapeId="0" xr:uid="{00000000-0006-0000-0300-000007000000}">
      <text>
        <r>
          <rPr>
            <b/>
            <sz val="9"/>
            <color indexed="81"/>
            <rFont val="Tahoma"/>
            <family val="2"/>
          </rPr>
          <t>Stuart Cross:</t>
        </r>
        <r>
          <rPr>
            <sz val="9"/>
            <color indexed="81"/>
            <rFont val="Tahoma"/>
            <family val="2"/>
          </rPr>
          <t xml:space="preserve">
No t/ha data, used average of other fruit
</t>
        </r>
      </text>
    </comment>
    <comment ref="C138" authorId="0" shapeId="0" xr:uid="{00000000-0006-0000-0300-000008000000}">
      <text>
        <r>
          <rPr>
            <b/>
            <sz val="9"/>
            <color indexed="81"/>
            <rFont val="Tahoma"/>
            <family val="2"/>
          </rPr>
          <t>Stuart Cross:</t>
        </r>
        <r>
          <rPr>
            <sz val="9"/>
            <color indexed="81"/>
            <rFont val="Tahoma"/>
            <family val="2"/>
          </rPr>
          <t xml:space="preserve">
No t/ha data, used average of other fruit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<sst xmlns="http://schemas.openxmlformats.org/spreadsheetml/2006/main" count="1197" uniqueCount="574">
  <si>
    <t>Name</t>
  </si>
  <si>
    <t>Date</t>
  </si>
  <si>
    <t>Prepared by:</t>
  </si>
  <si>
    <t>M Johnson</t>
  </si>
  <si>
    <t>Reviewed (spreadsheet review) by:</t>
  </si>
  <si>
    <t>S Cross</t>
  </si>
  <si>
    <t>Reviewed (subject matter review) by:</t>
  </si>
  <si>
    <t>Approved by:</t>
  </si>
  <si>
    <t>Area of land within land use classifications</t>
  </si>
  <si>
    <t>Land use</t>
  </si>
  <si>
    <t>Sourced from:</t>
  </si>
  <si>
    <t>Stats NZ Land use data</t>
  </si>
  <si>
    <t xml:space="preserve">ML Cat selection </t>
  </si>
  <si>
    <t>Cat 1</t>
  </si>
  <si>
    <t>Cat 2</t>
  </si>
  <si>
    <t>Carterton District</t>
  </si>
  <si>
    <t>Horowhenua District</t>
  </si>
  <si>
    <t>Kapiti Coast District</t>
  </si>
  <si>
    <t>Lower Hutt City</t>
  </si>
  <si>
    <t>Masterton District</t>
  </si>
  <si>
    <t>Palmerston North City</t>
  </si>
  <si>
    <t>Porirua City</t>
  </si>
  <si>
    <t>South Wairarapa District</t>
  </si>
  <si>
    <t>Tararua District</t>
  </si>
  <si>
    <t>Upper Hutt City</t>
  </si>
  <si>
    <t>Wellington City</t>
  </si>
  <si>
    <t>Grand Total</t>
  </si>
  <si>
    <t>Natural Forest</t>
  </si>
  <si>
    <t>71 - Natural Forest</t>
  </si>
  <si>
    <t>Forestry</t>
  </si>
  <si>
    <t>72 - Planted Forest - Pre 1990</t>
  </si>
  <si>
    <t>0 - Unknown</t>
  </si>
  <si>
    <t>201 - Pinus radiata</t>
  </si>
  <si>
    <t>203 - Unspecified exotic species</t>
  </si>
  <si>
    <t>73 - Post 1989 Forest</t>
  </si>
  <si>
    <t>122 - Wilding trees</t>
  </si>
  <si>
    <t>202 - Douglas fir</t>
  </si>
  <si>
    <t>204 - Regenerating natural species</t>
  </si>
  <si>
    <t xml:space="preserve">Other </t>
  </si>
  <si>
    <t>74 - Grassland - With woody biomass</t>
  </si>
  <si>
    <t>Dairy</t>
  </si>
  <si>
    <t>75 - Grassland - High producing</t>
  </si>
  <si>
    <t>502 - Grazed - dairy</t>
  </si>
  <si>
    <t>Farming general</t>
  </si>
  <si>
    <t>503 - Grazed - non-dairy</t>
  </si>
  <si>
    <t>76 - Grassland - Low producing</t>
  </si>
  <si>
    <t>504 - Ungrazed</t>
  </si>
  <si>
    <t>Horticultural</t>
  </si>
  <si>
    <t>77 - Cropland - Orchards and vineyards (perennial)</t>
  </si>
  <si>
    <t>78 - Cropland - Annual</t>
  </si>
  <si>
    <t>Other</t>
  </si>
  <si>
    <t>79 - Wetland - Open water</t>
  </si>
  <si>
    <t>80 - Wetland - Vegetated non forest</t>
  </si>
  <si>
    <t>Lifestyle</t>
  </si>
  <si>
    <t>81 - Settlements or built-up area</t>
  </si>
  <si>
    <t>82 - Other</t>
  </si>
  <si>
    <t xml:space="preserve">Total </t>
  </si>
  <si>
    <t>Check</t>
  </si>
  <si>
    <t>South Wairarapa District Council</t>
  </si>
  <si>
    <t>Carterton District Council</t>
  </si>
  <si>
    <t>Masterton District Council</t>
  </si>
  <si>
    <t>Land Use Description</t>
  </si>
  <si>
    <t>South Wairarapa District Council Area (ha)</t>
  </si>
  <si>
    <t>Carterton District Council Area (ha)</t>
  </si>
  <si>
    <t>Masterton District Council Area (ha)</t>
  </si>
  <si>
    <t>Total Wairarapa Region (ha)</t>
  </si>
  <si>
    <t>South Wairarapa District Council Area (%)</t>
  </si>
  <si>
    <t>Carterton District Council Area (%)</t>
  </si>
  <si>
    <t>Masterton District Council Area (%)</t>
  </si>
  <si>
    <t>Total Wairarapa Region (%)</t>
  </si>
  <si>
    <t>Farming General</t>
  </si>
  <si>
    <t>Total</t>
  </si>
  <si>
    <t>Land use category</t>
  </si>
  <si>
    <t>Category in model</t>
  </si>
  <si>
    <t>Number of assessments</t>
  </si>
  <si>
    <t>Land value</t>
  </si>
  <si>
    <t>Capital value</t>
  </si>
  <si>
    <t>Land area (Ha)</t>
  </si>
  <si>
    <t>Commercial</t>
  </si>
  <si>
    <t>Industrial</t>
  </si>
  <si>
    <t>Mining</t>
  </si>
  <si>
    <t>Pastoral</t>
  </si>
  <si>
    <t>Residential</t>
  </si>
  <si>
    <t>Specialist</t>
  </si>
  <si>
    <t>Utilities</t>
  </si>
  <si>
    <t xml:space="preserve"> Allocation of net costs firstly to heavy and light vehicles traffic and then secondly allocation to urban and rural </t>
  </si>
  <si>
    <t xml:space="preserve">  </t>
  </si>
  <si>
    <t>Allocation urban and rural</t>
  </si>
  <si>
    <t>Operating</t>
  </si>
  <si>
    <t>Work Code</t>
  </si>
  <si>
    <t>Total  (26/27 AP)</t>
  </si>
  <si>
    <t>Grants</t>
  </si>
  <si>
    <t>NZTA %</t>
  </si>
  <si>
    <t>Remaining rates funded</t>
  </si>
  <si>
    <t>Heavy vehicle allocation %</t>
  </si>
  <si>
    <t>Light vehicle allocation %</t>
  </si>
  <si>
    <t>Heavy vehicles</t>
  </si>
  <si>
    <t>Light vehicles including general traffic</t>
  </si>
  <si>
    <t>Method to allocate rural /urban split</t>
  </si>
  <si>
    <t>Rural %</t>
  </si>
  <si>
    <t>Urban %</t>
  </si>
  <si>
    <t>Heavy vehicle Rural $</t>
  </si>
  <si>
    <t>Heavy vehicle urban $</t>
  </si>
  <si>
    <t>Sealed pavement maintenance</t>
  </si>
  <si>
    <t>Length of sealed roads urban and rural</t>
  </si>
  <si>
    <t>Unsealed pavement maintenance</t>
  </si>
  <si>
    <t>Length of unsealed urban and rural roads</t>
  </si>
  <si>
    <t>Routine drainage maintenance</t>
  </si>
  <si>
    <t>Based on % of rural and urban roads (total)</t>
  </si>
  <si>
    <t>Structures maintenance</t>
  </si>
  <si>
    <t>Environmental maintenance</t>
  </si>
  <si>
    <t>100% rural as allocation to heavy vehicles relates specifically to effluent disposal</t>
  </si>
  <si>
    <t>Network service maintenance</t>
  </si>
  <si>
    <t>Cycle path maintenance</t>
  </si>
  <si>
    <t>Footpath maintenance</t>
  </si>
  <si>
    <t>Rail level crossing warning devices maintenance</t>
  </si>
  <si>
    <t>Minor events</t>
  </si>
  <si>
    <t>Emergency Works and Preventative Maintenance</t>
  </si>
  <si>
    <t>Network and asset management</t>
  </si>
  <si>
    <t>Special Purpose Road (SPR)</t>
  </si>
  <si>
    <t>SPR</t>
  </si>
  <si>
    <t>Unsubsidised works</t>
  </si>
  <si>
    <t>Emergency works and preventative maintenance</t>
  </si>
  <si>
    <t>/141/241</t>
  </si>
  <si>
    <t>District Wide operations</t>
  </si>
  <si>
    <t xml:space="preserve">Read comment here </t>
  </si>
  <si>
    <t>Capital</t>
  </si>
  <si>
    <t>Sealed</t>
  </si>
  <si>
    <t>Unsealed</t>
  </si>
  <si>
    <t>Structures component replacements</t>
  </si>
  <si>
    <t>Environmental renewals</t>
  </si>
  <si>
    <t>Cycle path renewal</t>
  </si>
  <si>
    <t>Footpath renewal</t>
  </si>
  <si>
    <t>2024/2025</t>
  </si>
  <si>
    <t>Road Lengths</t>
  </si>
  <si>
    <t>Lane KM</t>
  </si>
  <si>
    <t>% Roads</t>
  </si>
  <si>
    <t>% Unsealed</t>
  </si>
  <si>
    <t>% Sealed</t>
  </si>
  <si>
    <t xml:space="preserve">  Rural unsealed</t>
  </si>
  <si>
    <t xml:space="preserve">  Rural sealed</t>
  </si>
  <si>
    <t xml:space="preserve">  Urban unsealed</t>
  </si>
  <si>
    <t xml:space="preserve">  Urban sealed</t>
  </si>
  <si>
    <t>Total (excluding SPR)</t>
  </si>
  <si>
    <t>Special purpose roads Unsealed (excluded)</t>
  </si>
  <si>
    <t>Special purpose roads sealed (excluded)</t>
  </si>
  <si>
    <t>Below is for the report</t>
  </si>
  <si>
    <t>Lengths of roads (Km)</t>
  </si>
  <si>
    <t>Urban</t>
  </si>
  <si>
    <t xml:space="preserve">Rural </t>
  </si>
  <si>
    <t>Rural</t>
  </si>
  <si>
    <t>2026/2027 AP</t>
  </si>
  <si>
    <t>Light vehicles and general traffic</t>
  </si>
  <si>
    <t>Unsealed road metalling</t>
  </si>
  <si>
    <t>Sealed road resurfacing</t>
  </si>
  <si>
    <t>Drainage renewals</t>
  </si>
  <si>
    <t>Sealed road pavement rehabilitation</t>
  </si>
  <si>
    <t>Traffic services renewals</t>
  </si>
  <si>
    <t>Network operations</t>
  </si>
  <si>
    <t>Community Programmes</t>
  </si>
  <si>
    <t>Bridge and structures renewals</t>
  </si>
  <si>
    <t>Minor Improvements</t>
  </si>
  <si>
    <t>Allocation of heavy vehicle costs to sectors within urban and rural  for heavy vehicle costs</t>
  </si>
  <si>
    <t>Main exacerbators on rural roads</t>
  </si>
  <si>
    <t xml:space="preserve"> No of properties</t>
  </si>
  <si>
    <t>Tonnages</t>
  </si>
  <si>
    <t>Heavy Vehicle Costs- Rural $</t>
  </si>
  <si>
    <t>Costs spread across catagories</t>
  </si>
  <si>
    <t>Heavy Vehicle Costs- Urban $000</t>
  </si>
  <si>
    <t xml:space="preserve"> Costs spread across catagories</t>
  </si>
  <si>
    <t>Horticulture</t>
  </si>
  <si>
    <t xml:space="preserve"> Aggregation of all costs</t>
  </si>
  <si>
    <t>Categories</t>
  </si>
  <si>
    <t>Proportional land value</t>
  </si>
  <si>
    <t>Land Value</t>
  </si>
  <si>
    <t>Number of properties</t>
  </si>
  <si>
    <t>Allocate light vehicles  costs based on capital value</t>
  </si>
  <si>
    <t>Total General Traffic Cost</t>
  </si>
  <si>
    <t>Heavy vehicle costs -rural allocated on tonnages</t>
  </si>
  <si>
    <t>Heavy vehicle costs- urban allocated on number of  properties</t>
  </si>
  <si>
    <t>Total Heavy Traffic Cost</t>
  </si>
  <si>
    <t>Total costs allocated</t>
  </si>
  <si>
    <t>Proposed  share of Roading costs under this model</t>
  </si>
  <si>
    <t>Below is for the report SWDC</t>
  </si>
  <si>
    <t>Cost allocations to land use categories</t>
  </si>
  <si>
    <t>Land use Categories</t>
  </si>
  <si>
    <t>Land value (000)</t>
  </si>
  <si>
    <t>General costs based on land value</t>
  </si>
  <si>
    <t>Heavy vehicle costs - rural allocated on tonnages</t>
  </si>
  <si>
    <t>Heavy vehicle costs - Urban allocated on # of properties</t>
  </si>
  <si>
    <t xml:space="preserve">Total costs allocated </t>
  </si>
  <si>
    <t>Proposed share of roading costs</t>
  </si>
  <si>
    <t/>
  </si>
  <si>
    <t>General traffic (including light vehicle) costs are allocated on a pro rata basis against land value</t>
  </si>
  <si>
    <t>Rural heavy vehicle cost allocations</t>
  </si>
  <si>
    <t xml:space="preserve">Sector </t>
  </si>
  <si>
    <t xml:space="preserve">Proportional Land value </t>
  </si>
  <si>
    <t>Total General Traffic cost 2026/27</t>
  </si>
  <si>
    <t xml:space="preserve">Land use Category </t>
  </si>
  <si>
    <t>Heavy vehicle rural costs (% of total)</t>
  </si>
  <si>
    <t>Urban Heavy Vehicle costs</t>
  </si>
  <si>
    <t xml:space="preserve">Proportion of Properties </t>
  </si>
  <si>
    <t xml:space="preserve">Allocated cost, heavy vehicle urban </t>
  </si>
  <si>
    <t>Masterton</t>
  </si>
  <si>
    <t>Activity Class</t>
  </si>
  <si>
    <t>Expenditure Reporting Lines</t>
  </si>
  <si>
    <t>Work Category</t>
  </si>
  <si>
    <t>Description</t>
  </si>
  <si>
    <t>LTP Year 1 2024/25</t>
  </si>
  <si>
    <t>LTP Year 2 2025/26</t>
  </si>
  <si>
    <t>LTP Year 3 2026/27</t>
  </si>
  <si>
    <t>LTP Year 4 2027/28</t>
  </si>
  <si>
    <t>LTP Year 5 2028/29</t>
  </si>
  <si>
    <t>LTP Year 6 2029/30</t>
  </si>
  <si>
    <t>LTP Year 7 2030/31</t>
  </si>
  <si>
    <t>LTP Year 8 2031/32</t>
  </si>
  <si>
    <t>LTP Year 9 2032/33</t>
  </si>
  <si>
    <t>LTP Year 10 2033/34</t>
  </si>
  <si>
    <t>Local road operations</t>
  </si>
  <si>
    <t>Operations</t>
  </si>
  <si>
    <t>Total Local road operations</t>
  </si>
  <si>
    <t>Local road pothole prevention</t>
  </si>
  <si>
    <t>Pothole prevention</t>
  </si>
  <si>
    <t>Total Local road pothole prevention</t>
  </si>
  <si>
    <t>Walking and cycling improvements</t>
  </si>
  <si>
    <t>Walking and cycling</t>
  </si>
  <si>
    <t>Total Walking and cycling improvements</t>
  </si>
  <si>
    <t>Local road improvements</t>
  </si>
  <si>
    <t>Improvements</t>
  </si>
  <si>
    <t>Total Local road improvements</t>
  </si>
  <si>
    <t>Emergency Works</t>
  </si>
  <si>
    <t>Calculation of freight volumes within Wairarapa</t>
  </si>
  <si>
    <t>Average</t>
  </si>
  <si>
    <t>Forecast wood availability for Wairarapa Region during LTP years (000 cubic meters)</t>
  </si>
  <si>
    <t>Wood availability forecast - New Zealand 2021-2060</t>
  </si>
  <si>
    <t>Planted forestry harvestable ages during LTP years (16 years or older)</t>
  </si>
  <si>
    <t>16-20</t>
  </si>
  <si>
    <t>21-25</t>
  </si>
  <si>
    <t>26-30</t>
  </si>
  <si>
    <t>31-35</t>
  </si>
  <si>
    <t>36-40</t>
  </si>
  <si>
    <t>41-50</t>
  </si>
  <si>
    <t>51-60</t>
  </si>
  <si>
    <t>61+</t>
  </si>
  <si>
    <t>Density of green wood (tonnes/cubic meter)</t>
  </si>
  <si>
    <t>Current</t>
  </si>
  <si>
    <t>New Zealand Pine User Guide - The New Zealand Pine Remanufacturers' Association 1996</t>
  </si>
  <si>
    <t>Total kg milk solids Wairarapa</t>
  </si>
  <si>
    <t>Updated 2024/2025</t>
  </si>
  <si>
    <t>New Zealand Dairy Statistics 2024-25, DairyNZ</t>
  </si>
  <si>
    <t>Total industry raw milk litres (L)</t>
  </si>
  <si>
    <t>Total industry milk solids (kg)</t>
  </si>
  <si>
    <t>Avg. Milk solids per litre</t>
  </si>
  <si>
    <t>Total litres raw milk</t>
  </si>
  <si>
    <t>Total ml raw milk</t>
  </si>
  <si>
    <t>Density raw milk (g/mL)</t>
  </si>
  <si>
    <r>
      <t xml:space="preserve">FAO/INFOODS Density Database Version 2.0 (2012), Food and Agriculture Organization of the United Nations, </t>
    </r>
    <r>
      <rPr>
        <i/>
        <sz val="11"/>
        <color theme="1"/>
        <rFont val="Calibri"/>
        <family val="2"/>
        <scheme val="minor"/>
      </rPr>
      <t>Charrondiere, U.R et al</t>
    </r>
  </si>
  <si>
    <t>Grams Raw milk</t>
  </si>
  <si>
    <t>Tonnes Raw milk Wairarapa</t>
  </si>
  <si>
    <t>Total dairy Ha Wairarapa</t>
  </si>
  <si>
    <t>Pulling from updated land use summary</t>
  </si>
  <si>
    <t>Total dairy Ha</t>
  </si>
  <si>
    <t>Dairy cattle movements</t>
  </si>
  <si>
    <t>FY 2016</t>
  </si>
  <si>
    <t>From Area</t>
  </si>
  <si>
    <t>Data from FY 2016 NAIT</t>
  </si>
  <si>
    <t>National animal identification and tracing (NAIT) livestock movements database</t>
  </si>
  <si>
    <t>To Area</t>
  </si>
  <si>
    <t>Avg Weight Dairy calf (T)</t>
  </si>
  <si>
    <t>Assumes dairy cattle movements typically calves (bobby or heifers). NZ Dairy stats, avg live weight of crossbred.  NZ Dairy liveweight target  6mo (30%)</t>
  </si>
  <si>
    <t>Tonnes Dairy cattle movements</t>
  </si>
  <si>
    <t>Dairy tonnage total</t>
  </si>
  <si>
    <t>General farming</t>
  </si>
  <si>
    <t>Stock movements</t>
  </si>
  <si>
    <t>Beef</t>
  </si>
  <si>
    <t>Deer</t>
  </si>
  <si>
    <t># Unspecified Cattle</t>
  </si>
  <si>
    <t>Beef cattle/deer from South Wairarapa District Council</t>
  </si>
  <si>
    <t>From</t>
  </si>
  <si>
    <t>Beef cattle/deer to South Wairarapa District Council</t>
  </si>
  <si>
    <t>To</t>
  </si>
  <si>
    <t>Beef cattle/deer from Carterton District Council</t>
  </si>
  <si>
    <t>Beef cattle/deer to Carterton District Council</t>
  </si>
  <si>
    <t>Beef cattle/deer from Masterton District Council</t>
  </si>
  <si>
    <t>Beef cattle/deer to Masterton District Council</t>
  </si>
  <si>
    <t>Average weight beef cattle (t)/deer</t>
  </si>
  <si>
    <t>Beef and Lamb NZ Guide to New Zealand Cattle Farming pg 20</t>
  </si>
  <si>
    <t>Report to Deer Industry New Zealand: Estimation of Deer Population and Productivity Data 1990‐2012 - Deer Industry NZ, Suttie Consulting</t>
  </si>
  <si>
    <t>Total weight beef cattle South Wairarapa District Council</t>
  </si>
  <si>
    <t>Total weight beef cattle Carterton District Council</t>
  </si>
  <si>
    <t>Total weight beef cattle Masterton District Council</t>
  </si>
  <si>
    <t>Other livestock (2025)</t>
  </si>
  <si>
    <t>Goats</t>
  </si>
  <si>
    <t>Adult sheep</t>
  </si>
  <si>
    <t>Lamb</t>
  </si>
  <si>
    <t>Number animals to slaughter (Total kill) (Taranaki, Wanganui, Wellington (Annual-Sep))</t>
  </si>
  <si>
    <t>Stats NZ, Livestock slaughtering by Regional Council by Kill by animal type -  Taranaki, Wanganui, Manawatu, Wellington (Annual-Sep)</t>
  </si>
  <si>
    <t>Number animals Taranaki</t>
  </si>
  <si>
    <t>Stats NZ  - Livestock numbers by regional Council, 2025 data, retrieved from NZ.Stat &amp; Goats on New Zealand farms from Figure NZ 2025</t>
  </si>
  <si>
    <t>Number animals Wanganui</t>
  </si>
  <si>
    <t>Stats NZ  - Livestock numbers by regional Council, 2025 data, retrieved from NZ.Stat &amp; Goats on New Zealand farms from Figure NZ 2026</t>
  </si>
  <si>
    <t>Number animals Wellington</t>
  </si>
  <si>
    <t>Stats NZ  - Livestock numbers by regional Council, 2025 data, retrieved from NZ.Stat &amp; Goats on New Zealand farms from Figure NZ 2027</t>
  </si>
  <si>
    <t>Number to slaughter Wellington</t>
  </si>
  <si>
    <t>Average Weight</t>
  </si>
  <si>
    <t>Sources noted in comments</t>
  </si>
  <si>
    <t>Total weight Wellington</t>
  </si>
  <si>
    <t>Wellington total general farming land</t>
  </si>
  <si>
    <t>Calculation</t>
  </si>
  <si>
    <t>Total Wairarapa Region (ha) general farming land</t>
  </si>
  <si>
    <t>% of total Wellington region land for farming general</t>
  </si>
  <si>
    <t>Total farming general in Wellington region</t>
  </si>
  <si>
    <t>Wellington crop volumes</t>
  </si>
  <si>
    <t>Ha Planted in Wellington</t>
  </si>
  <si>
    <t>Average Tonnes/Ha</t>
  </si>
  <si>
    <t>Apples</t>
  </si>
  <si>
    <t>Horticulture NZ, Fresh Facts 2025 - Note land use (Ha) is from 2013 Agricultural Census</t>
  </si>
  <si>
    <t>Wine grapes</t>
  </si>
  <si>
    <t>Horticulture NZ, Fresh Facts 2025 - Note land use (Ha) is from 2013 Agricultural Census &amp; New Zealand Wine  (A Snapshot 2026)</t>
  </si>
  <si>
    <t>Kiwifruit</t>
  </si>
  <si>
    <t>Summer fruit</t>
  </si>
  <si>
    <t>Avocados</t>
  </si>
  <si>
    <t>Citrus</t>
  </si>
  <si>
    <t>Berry fruit</t>
  </si>
  <si>
    <t>Nuts</t>
  </si>
  <si>
    <t>Olives</t>
  </si>
  <si>
    <t>Other subtropical</t>
  </si>
  <si>
    <t>Other fruits</t>
  </si>
  <si>
    <t>Total fruit (T) Wellington</t>
  </si>
  <si>
    <t>Broccoli and Cauli</t>
  </si>
  <si>
    <t>Carrots</t>
  </si>
  <si>
    <t>Peas and Beans</t>
  </si>
  <si>
    <t>lettuces</t>
  </si>
  <si>
    <t>Potatoes</t>
  </si>
  <si>
    <t>Sweetcorn</t>
  </si>
  <si>
    <t>Other veg (assume Kumara)</t>
  </si>
  <si>
    <t>Total vegetables</t>
  </si>
  <si>
    <t>Total horticultural output Wellington</t>
  </si>
  <si>
    <t>Wellington total horticultural farming land</t>
  </si>
  <si>
    <t>Wairarapa Regional Area horticultural farming land</t>
  </si>
  <si>
    <t>Total Wairarapa Region (ha) Horticultural farming land</t>
  </si>
  <si>
    <t>Wairarapa Regional area freight volumes - Horticulture</t>
  </si>
  <si>
    <t>Data sources</t>
  </si>
  <si>
    <t>Funding and transport – dashboard and open data | NZ Transport Agency Waka Kotahi</t>
  </si>
  <si>
    <t>https://morrisonlow.sharepoint.com/sites/CompanyData/Projects/Projects%20-%20MLA/3136%20-%20SWDC%20-%20Roading%20Modelling/File%20Notes%20&amp;%20General/Reports/Kill%20data.xlsx?web=1</t>
  </si>
  <si>
    <t xml:space="preserve">Data webpage: </t>
  </si>
  <si>
    <t>Data, statistics, and surveys on NZ forests | NZ Government</t>
  </si>
  <si>
    <t>Data source:</t>
  </si>
  <si>
    <t>27118-WAF-2021-Data-Tables.xlsx</t>
  </si>
  <si>
    <t>Date tab:</t>
  </si>
  <si>
    <t>East SNI</t>
  </si>
  <si>
    <t>Appendix 3 - Eastern SNI Wood Availability Forecasts for the Period 2021-2060</t>
  </si>
  <si>
    <t>Table 4: Eastern SNI Wood Avaliability under Scenario 4</t>
  </si>
  <si>
    <t>Table 1: Eastern SNI Wood Avaliability under Scenario 1</t>
  </si>
  <si>
    <t>(Assumes that large-scale owners harvest at stated intentions then at non-declining yield,</t>
  </si>
  <si>
    <t xml:space="preserve">(Assumes that large-scale owners harvest at stated intentions and then at non-declining yield, </t>
  </si>
  <si>
    <t>and total wood availability is modelled at a split non-declining yield with target rotation ages of 26/30,</t>
  </si>
  <si>
    <t>and target harvest of age 26 (small-scale owners) and 30 (large-scale owners) years)</t>
  </si>
  <si>
    <t>- 2 years and + 2 years)</t>
  </si>
  <si>
    <t>Year Ending</t>
  </si>
  <si>
    <t xml:space="preserve">Large-Scale </t>
  </si>
  <si>
    <t xml:space="preserve">Small-Scale </t>
  </si>
  <si>
    <t xml:space="preserve">All </t>
  </si>
  <si>
    <t>Recoverable</t>
  </si>
  <si>
    <t xml:space="preserve">Recoverable </t>
  </si>
  <si>
    <t>December</t>
  </si>
  <si>
    <t>Owners</t>
  </si>
  <si>
    <t xml:space="preserve">Volume Target </t>
  </si>
  <si>
    <t>Age</t>
  </si>
  <si>
    <r>
      <t>(000 m</t>
    </r>
    <r>
      <rPr>
        <vertAlign val="superscript"/>
        <sz val="10"/>
        <color rgb="FF000000"/>
        <rFont val="Calibri"/>
        <family val="2"/>
      </rPr>
      <t>3</t>
    </r>
    <r>
      <rPr>
        <sz val="10"/>
        <color rgb="FF000000"/>
        <rFont val="Calibri"/>
        <family val="2"/>
      </rPr>
      <t>)</t>
    </r>
  </si>
  <si>
    <t>Age - 2 (000 m³)</t>
  </si>
  <si>
    <t>(Years)</t>
  </si>
  <si>
    <t>Age (000 m³)</t>
  </si>
  <si>
    <t>Age + 2 (000 m³)</t>
  </si>
  <si>
    <t>1 327</t>
  </si>
  <si>
    <t>1 500</t>
  </si>
  <si>
    <t>5 252</t>
  </si>
  <si>
    <t>6 000</t>
  </si>
  <si>
    <t>1 994</t>
  </si>
  <si>
    <t>1 848</t>
  </si>
  <si>
    <t>1 800</t>
  </si>
  <si>
    <t>1 750</t>
  </si>
  <si>
    <t>2 466</t>
  </si>
  <si>
    <t>1 849</t>
  </si>
  <si>
    <t>1 471</t>
  </si>
  <si>
    <t>1 595</t>
  </si>
  <si>
    <t>1 276</t>
  </si>
  <si>
    <t>1 478</t>
  </si>
  <si>
    <t>1 479</t>
  </si>
  <si>
    <t>1 021</t>
  </si>
  <si>
    <t>1 183</t>
  </si>
  <si>
    <t>1 066</t>
  </si>
  <si>
    <t>1 279</t>
  </si>
  <si>
    <t>1 439</t>
  </si>
  <si>
    <t>1 166</t>
  </si>
  <si>
    <t>1 012</t>
  </si>
  <si>
    <t>1 185</t>
  </si>
  <si>
    <t>1 399</t>
  </si>
  <si>
    <t>1 214</t>
  </si>
  <si>
    <t>1 293</t>
  </si>
  <si>
    <t>1 776</t>
  </si>
  <si>
    <t>1 514</t>
  </si>
  <si>
    <t>1 457</t>
  </si>
  <si>
    <t>1 043</t>
  </si>
  <si>
    <t>1 526</t>
  </si>
  <si>
    <t>1 470</t>
  </si>
  <si>
    <t>1 047</t>
  </si>
  <si>
    <t>1 559</t>
  </si>
  <si>
    <t>3 070</t>
  </si>
  <si>
    <t>3 583</t>
  </si>
  <si>
    <t>1 299</t>
  </si>
  <si>
    <t>1 229</t>
  </si>
  <si>
    <t>5 370</t>
  </si>
  <si>
    <t>5 882</t>
  </si>
  <si>
    <t>2 304</t>
  </si>
  <si>
    <t>2 817</t>
  </si>
  <si>
    <t>1 244</t>
  </si>
  <si>
    <t>1 757</t>
  </si>
  <si>
    <t>1 031</t>
  </si>
  <si>
    <t>1 251</t>
  </si>
  <si>
    <t>1 381</t>
  </si>
  <si>
    <t>1 028</t>
  </si>
  <si>
    <t xml:space="preserve">Notes: </t>
  </si>
  <si>
    <t>m³ = cubic metres inside bark</t>
  </si>
  <si>
    <t>Table 2: Eastern SNI Wood Avaliability under Scenario 2</t>
  </si>
  <si>
    <t>Table 5: Eastern SNI Wood Avaliability for Douglas-fir</t>
  </si>
  <si>
    <t xml:space="preserve">(Assumes that large-scale owners harvest at stated intentions and then at non-declining yield, and </t>
  </si>
  <si>
    <t xml:space="preserve">(Assumes that large-scale owners harvest at stated intentions with yield regulated </t>
  </si>
  <si>
    <t>total wood availability is modelled at a non-declining yield)</t>
  </si>
  <si>
    <t>and a target rotation age of 40 years)</t>
  </si>
  <si>
    <t>Large-Scale</t>
  </si>
  <si>
    <t>Small-Scale</t>
  </si>
  <si>
    <t>All</t>
  </si>
  <si>
    <t>1 422</t>
  </si>
  <si>
    <t>1 462</t>
  </si>
  <si>
    <t>Table 3: Eastern SNI Wood Avaliability under Scenario 3</t>
  </si>
  <si>
    <t>(Assumes that large-scale owners harvest at stated intentions then at non-declining yield, and total</t>
  </si>
  <si>
    <t>wood availability is modelled at a split non-declining yield)</t>
  </si>
  <si>
    <t>Pruned</t>
  </si>
  <si>
    <t>Unpruned</t>
  </si>
  <si>
    <t>Pulp Logs</t>
  </si>
  <si>
    <t>1 007</t>
  </si>
  <si>
    <t>1 100</t>
  </si>
  <si>
    <t>1 201</t>
  </si>
  <si>
    <t>1 132</t>
  </si>
  <si>
    <t>1 112</t>
  </si>
  <si>
    <t>1 246</t>
  </si>
  <si>
    <t>1 144</t>
  </si>
  <si>
    <t>1 157</t>
  </si>
  <si>
    <t>1 249</t>
  </si>
  <si>
    <t>1 254</t>
  </si>
  <si>
    <t>1 301</t>
  </si>
  <si>
    <t>1 282</t>
  </si>
  <si>
    <t>1 239</t>
  </si>
  <si>
    <t>1 206</t>
  </si>
  <si>
    <t>1 133</t>
  </si>
  <si>
    <t>1 228</t>
  </si>
  <si>
    <t>1 041</t>
  </si>
  <si>
    <t>1 019</t>
  </si>
  <si>
    <t>1 030</t>
  </si>
  <si>
    <t>1 177</t>
  </si>
  <si>
    <t>1 037</t>
  </si>
  <si>
    <t>1 145</t>
  </si>
  <si>
    <t>1 091</t>
  </si>
  <si>
    <t>1 147</t>
  </si>
  <si>
    <t>1 086</t>
  </si>
  <si>
    <t>1 156</t>
  </si>
  <si>
    <t>1 124</t>
  </si>
  <si>
    <t>1 119</t>
  </si>
  <si>
    <t>1 110</t>
  </si>
  <si>
    <t>1 106</t>
  </si>
  <si>
    <t>1 090</t>
  </si>
  <si>
    <t>1 103</t>
  </si>
  <si>
    <t>1 168</t>
  </si>
  <si>
    <t>National Exotic Forest Description as at 1st April 2025</t>
  </si>
  <si>
    <t>70949-NEFD-report-web-08-12-25.pdf</t>
  </si>
  <si>
    <t>Data table:</t>
  </si>
  <si>
    <t>Table10:Areaplantedinallspeciesbyterritorialauthority,asat1April2025</t>
  </si>
  <si>
    <t>Dated:</t>
  </si>
  <si>
    <t>1st April 2025</t>
  </si>
  <si>
    <t>nz-dairy-statistics-24-25.pdf</t>
  </si>
  <si>
    <t>Table 3.2: Herd production analysis by region in 2024/25</t>
  </si>
  <si>
    <t>2024-2025</t>
  </si>
  <si>
    <t>agricultural-production-statistics-year-to-june-2025.xlsx</t>
  </si>
  <si>
    <t>Agricultural production statistics: Year to June 2025</t>
  </si>
  <si>
    <t>Multiple</t>
  </si>
  <si>
    <t>Table 1</t>
  </si>
  <si>
    <r>
      <t>Selected livestock numbers</t>
    </r>
    <r>
      <rPr>
        <b/>
        <vertAlign val="superscript"/>
        <sz val="11"/>
        <rFont val="Arial Mäori"/>
        <family val="2"/>
      </rPr>
      <t>(1)(2)(3)(4)</t>
    </r>
  </si>
  <si>
    <t>By region</t>
  </si>
  <si>
    <t xml:space="preserve">                                </t>
  </si>
  <si>
    <t>Region</t>
  </si>
  <si>
    <t>At 30 June</t>
  </si>
  <si>
    <t>Total sheep</t>
  </si>
  <si>
    <t>Total dairy cattle</t>
  </si>
  <si>
    <t>Total beef cattle</t>
  </si>
  <si>
    <t>Total deer</t>
  </si>
  <si>
    <t>% change</t>
  </si>
  <si>
    <t xml:space="preserve">Northland                  </t>
  </si>
  <si>
    <t xml:space="preserve">Auckland                   </t>
  </si>
  <si>
    <t>S</t>
  </si>
  <si>
    <t xml:space="preserve">Waikato                    </t>
  </si>
  <si>
    <t xml:space="preserve">Bay of Plenty              </t>
  </si>
  <si>
    <t xml:space="preserve">Gisborne                   </t>
  </si>
  <si>
    <t xml:space="preserve">Hawke's Bay                 </t>
  </si>
  <si>
    <t xml:space="preserve">Taranaki                   </t>
  </si>
  <si>
    <t>Manawatū-Whanganui</t>
  </si>
  <si>
    <t xml:space="preserve">Wellington                 </t>
  </si>
  <si>
    <t>Total North Island</t>
  </si>
  <si>
    <t xml:space="preserve">Tasman                </t>
  </si>
  <si>
    <t>Nelson</t>
  </si>
  <si>
    <t>-</t>
  </si>
  <si>
    <t xml:space="preserve">Marlborough             </t>
  </si>
  <si>
    <t xml:space="preserve">West Coast                 </t>
  </si>
  <si>
    <t xml:space="preserve">Canterbury                 </t>
  </si>
  <si>
    <t xml:space="preserve">Otago                      </t>
  </si>
  <si>
    <t xml:space="preserve">Southland                  </t>
  </si>
  <si>
    <t>Chatham Islands</t>
  </si>
  <si>
    <t>Total South Island</t>
  </si>
  <si>
    <t>Total New Zealand</t>
  </si>
  <si>
    <t>2024 and 2025 were agricultural production survey years.</t>
  </si>
  <si>
    <t>Figures may not add to the totals due to rounding.</t>
  </si>
  <si>
    <t>Percentage changes are calculated on unrounded numbers.</t>
  </si>
  <si>
    <t>Nelson region statistics for 2025 are suppressed because the sampling error could not be calculated for this region. See the technical notes for more information.</t>
  </si>
  <si>
    <t>Symbols:</t>
  </si>
  <si>
    <t>suppressed</t>
  </si>
  <si>
    <t>nil or zero</t>
  </si>
  <si>
    <r>
      <t>Source:</t>
    </r>
    <r>
      <rPr>
        <sz val="8"/>
        <rFont val="Arial Mäori"/>
        <family val="2"/>
      </rPr>
      <t xml:space="preserve"> Stats NZ</t>
    </r>
  </si>
  <si>
    <t>Authority type</t>
  </si>
  <si>
    <t>Authority Name</t>
  </si>
  <si>
    <t>SHLR</t>
  </si>
  <si>
    <t>Vehicle_Class</t>
  </si>
  <si>
    <t>2010/11</t>
  </si>
  <si>
    <t>2011/12</t>
  </si>
  <si>
    <t>2012/13</t>
  </si>
  <si>
    <t>2013/14</t>
  </si>
  <si>
    <t>2014/15</t>
  </si>
  <si>
    <t>2015/16</t>
  </si>
  <si>
    <t>2016/17</t>
  </si>
  <si>
    <t>2017/18</t>
  </si>
  <si>
    <t>2018/19</t>
  </si>
  <si>
    <t>2019/20</t>
  </si>
  <si>
    <t>2020/21</t>
  </si>
  <si>
    <t>2021/22</t>
  </si>
  <si>
    <t>2022/23</t>
  </si>
  <si>
    <t>2023/24</t>
  </si>
  <si>
    <t>2024/25</t>
  </si>
  <si>
    <t>Territorial</t>
  </si>
  <si>
    <t>Local Roads</t>
  </si>
  <si>
    <t>Heavy/Light Not Known</t>
  </si>
  <si>
    <t>State Highways</t>
  </si>
  <si>
    <t>Heavy (MCV, HCV1, HCV2, Bus)</t>
  </si>
  <si>
    <t>Light (Car, LCV)</t>
  </si>
  <si>
    <t>Split Heavy (MCV, HCV1, HCV2, Bus)</t>
  </si>
  <si>
    <t>Spilt Light (Car, LCV)</t>
  </si>
  <si>
    <t>National Exotic Forest Description 1 April 2025</t>
  </si>
  <si>
    <t>Sector</t>
  </si>
  <si>
    <t>Dairy (Milk Tankers)</t>
  </si>
  <si>
    <t>Dairy (Bobby Calves)</t>
  </si>
  <si>
    <t>General Farming (Beef)</t>
  </si>
  <si>
    <t>ESA/Round Trip</t>
  </si>
  <si>
    <t>Payload (t)</t>
  </si>
  <si>
    <t>ESA per Tonne</t>
  </si>
  <si>
    <t>Damage Index (Forestry=1.0)</t>
  </si>
  <si>
    <t>Forestry (50MAX)</t>
  </si>
  <si>
    <t>Damage Factor Comparison (Per Tonne of Freight)</t>
  </si>
  <si>
    <t>Axle Loading</t>
  </si>
  <si>
    <t>The first allocation is done by allocating  costs as per the Ministry of Transport allocation %. The second  part of the allocation was done based on % of rural vs urban roads per Council data</t>
  </si>
  <si>
    <t>Low cost / low risk improvements</t>
  </si>
  <si>
    <t>SPR 95%</t>
  </si>
  <si>
    <t>Grand Total for three TA in Wairarapa (Carterton District, Masterton District &amp; SWDC)</t>
  </si>
  <si>
    <t>This financial model has been prepared for South Wairarapa District Council to assess the potential impact of land use on the district roading network.
The model is intended for financial planning and long term planning purposes only. It should not be relied upon for obtaining finance, investment decisions, or any purpose other than that for which it was prepared.
The results of this financial model should be considered indicative only and are highly dependent on a range of key assumptions and inputs. As with any financial forecast, there is significant uncertainty associated with many of these assumptions, including assumptions relating to the extent to which land within each land use category is used for the purposes assumed in the model.
This model relies on information provided by the participating councils, including land use data, roading cost information, and information supplied via email and other correspondence. Morrison Low has not independently verified the accuracy, completeness, or reliability of this information.
Morrison Low accepts no responsibility for the use of this model outside its intended purpose, or for any changes made to the model after it has been issued.
This model was reviewed and approved for release to South Wairarapa District Council on the date shown below.</t>
  </si>
  <si>
    <t>South Wairarapa District council roading model</t>
  </si>
  <si>
    <t xml:space="preserve">This spreadsheet has been locked to prevent unintentional changes to formulas and logic.  The password to unlock the spreadsheet is:  </t>
  </si>
  <si>
    <t>Councils as listed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</si>
</sst>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_(* #,##0_);_(* \(#,##0\);_(* &quot;-&quot;_);_(@_)"/>
    <numFmt numFmtId="165" formatCode="_(* #,##0.00_);_(* \(#,##0.00\);_(* &quot;-&quot;??_);_(@_)"/>
    <numFmt numFmtId="166" formatCode="_-* #,##0_-;\-* #,##0_-;_-* &quot;-&quot;??_-;_-@_-"/>
    <numFmt numFmtId="167" formatCode="0.0%"/>
    <numFmt numFmtId="168" formatCode="_-* #,##0.000_-;\-* #,##0.000_-;_-* &quot;-&quot;??_-;_-@_-"/>
    <numFmt numFmtId="169" formatCode="_-&quot;$&quot;* #,##0_-;\-&quot;$&quot;* #,##0_-;_-&quot;$&quot;* &quot;-&quot;??_-;_-@_-"/>
    <numFmt numFmtId="170" formatCode="0.000"/>
    <numFmt numFmtId="171" formatCode="&quot;$&quot;0.00,,\ &quot;million&quot;"/>
  </numFmts>
  <fonts count="6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b/>
      <sz val="10"/>
      <name val="Comic Sans MS"/>
      <family val="4"/>
    </font>
    <font>
      <b/>
      <sz val="10"/>
      <color indexed="60"/>
      <name val="Arial"/>
      <family val="2"/>
    </font>
    <font>
      <b/>
      <u/>
      <sz val="10"/>
      <color indexed="12"/>
      <name val="Arial"/>
      <family val="2"/>
    </font>
    <font>
      <b/>
      <sz val="10"/>
      <color indexed="12"/>
      <name val="Arial"/>
      <family val="2"/>
    </font>
    <font>
      <i/>
      <sz val="8"/>
      <name val="Arial"/>
      <family val="2"/>
    </font>
    <font>
      <b/>
      <i/>
      <sz val="10"/>
      <name val="Arial"/>
      <family val="2"/>
    </font>
    <font>
      <i/>
      <sz val="10"/>
      <name val="Comic Sans MS"/>
      <family val="4"/>
    </font>
    <font>
      <b/>
      <u/>
      <sz val="10"/>
      <name val="Arial"/>
      <family val="2"/>
    </font>
    <font>
      <b/>
      <u val="doubleAccounting"/>
      <sz val="10"/>
      <name val="Arial"/>
      <family val="2"/>
    </font>
    <font>
      <b/>
      <u/>
      <sz val="12"/>
      <name val="Arial"/>
      <family val="2"/>
    </font>
    <font>
      <i/>
      <u/>
      <sz val="10"/>
      <name val="Arial"/>
      <family val="2"/>
    </font>
    <font>
      <sz val="10"/>
      <name val="Arial"/>
      <family val="2"/>
    </font>
    <font>
      <sz val="11"/>
      <color rgb="FF3F3F76"/>
      <name val="Calibri"/>
      <family val="2"/>
      <scheme val="minor"/>
    </font>
    <font>
      <b/>
      <sz val="11"/>
      <color rgb="FF3F3F3F"/>
      <name val="Calibri"/>
      <family val="2"/>
      <scheme val="minor"/>
    </font>
    <font>
      <b/>
      <sz val="11"/>
      <color theme="1"/>
      <name val="Calibri"/>
      <family val="2"/>
      <scheme val="minor"/>
    </font>
    <font>
      <i/>
      <sz val="11"/>
      <color theme="1"/>
      <name val="Calibri"/>
      <family val="2"/>
      <scheme val="minor"/>
    </font>
    <font>
      <b/>
      <sz val="9"/>
      <color indexed="81"/>
      <name val="Tahoma"/>
      <family val="2"/>
    </font>
    <font>
      <sz val="9"/>
      <color indexed="81"/>
      <name val="Tahoma"/>
      <family val="2"/>
    </font>
    <font>
      <i/>
      <sz val="9"/>
      <color indexed="81"/>
      <name val="Tahoma"/>
      <family val="2"/>
    </font>
    <font>
      <u/>
      <sz val="11"/>
      <color theme="10"/>
      <name val="Calibri"/>
      <family val="2"/>
      <scheme val="minor"/>
    </font>
    <font>
      <sz val="11"/>
      <color indexed="8"/>
      <name val="Calibri"/>
      <family val="2"/>
    </font>
    <font>
      <b/>
      <sz val="10"/>
      <color rgb="FFFF0000"/>
      <name val="Arial"/>
      <family val="2"/>
    </font>
    <font>
      <sz val="10"/>
      <color rgb="FFFF0000"/>
      <name val="Arial"/>
      <family val="2"/>
    </font>
    <font>
      <sz val="10"/>
      <color theme="0"/>
      <name val="Arial"/>
      <family val="2"/>
    </font>
    <font>
      <u/>
      <sz val="10"/>
      <color theme="10"/>
      <name val="Arial"/>
      <family val="2"/>
    </font>
    <font>
      <b/>
      <sz val="13"/>
      <color rgb="FF000000"/>
      <name val="Calibri"/>
      <family val="2"/>
    </font>
    <font>
      <sz val="11"/>
      <color rgb="FF000000"/>
      <name val="Calibri"/>
      <family val="2"/>
    </font>
    <font>
      <b/>
      <sz val="12"/>
      <color rgb="FF000000"/>
      <name val="Calibri"/>
      <family val="2"/>
    </font>
    <font>
      <sz val="10"/>
      <color rgb="FF000000"/>
      <name val="Calibri"/>
      <family val="2"/>
    </font>
    <font>
      <vertAlign val="superscript"/>
      <sz val="10"/>
      <color rgb="FF000000"/>
      <name val="Calibri"/>
      <family val="2"/>
    </font>
    <font>
      <sz val="10"/>
      <name val="Arial Mäori"/>
      <family val="2"/>
    </font>
    <font>
      <sz val="8"/>
      <name val="Arial Mäori"/>
      <family val="2"/>
    </font>
    <font>
      <b/>
      <sz val="11"/>
      <name val="Arial Mäori"/>
      <family val="2"/>
    </font>
    <font>
      <b/>
      <vertAlign val="superscript"/>
      <sz val="11"/>
      <name val="Arial Mäori"/>
      <family val="2"/>
    </font>
    <font>
      <sz val="11"/>
      <name val="Arial Mäori"/>
      <family val="2"/>
    </font>
    <font>
      <sz val="8"/>
      <name val="Arial Mäori"/>
    </font>
    <font>
      <b/>
      <sz val="8"/>
      <name val="Arial Mäori"/>
      <family val="2"/>
    </font>
    <font>
      <b/>
      <sz val="10"/>
      <color theme="0"/>
      <name val="Arial"/>
      <family val="2"/>
    </font>
    <font>
      <b/>
      <sz val="16"/>
      <color theme="0"/>
      <name val="Arial"/>
      <family val="2"/>
    </font>
    <font>
      <b/>
      <sz val="20"/>
      <color theme="0"/>
      <name val="Arial"/>
      <family val="2"/>
    </font>
    <font>
      <sz val="11"/>
      <color theme="1"/>
      <name val="Century Gothic"/>
      <family val="2"/>
    </font>
    <font>
      <b/>
      <sz val="11"/>
      <color theme="1"/>
      <name val="Century Gothic"/>
      <family val="2"/>
    </font>
    <font>
      <sz val="10.5"/>
      <name val="Barlow"/>
    </font>
    <font>
      <b/>
      <sz val="10.5"/>
      <name val="Barlow"/>
    </font>
    <font>
      <b/>
      <sz val="15"/>
      <color theme="0"/>
      <name val="Calibri"/>
      <family val="2"/>
      <scheme val="minor"/>
    </font>
    <font>
      <b/>
      <sz val="10"/>
      <color theme="0"/>
      <name val="Calibri"/>
      <family val="2"/>
      <scheme val="minor"/>
    </font>
    <font>
      <sz val="10"/>
      <color theme="7"/>
      <name val="Arial"/>
      <family val="2"/>
    </font>
    <font>
      <sz val="8"/>
      <name val="Arial"/>
      <family val="2"/>
    </font>
    <font>
      <sz val="11"/>
      <color rgb="FF3F3F3F"/>
      <name val="Calibri"/>
      <family val="2"/>
      <scheme val="minor"/>
    </font>
    <font>
      <b/>
      <sz val="11"/>
      <color theme="0"/>
      <name val="Calibri"/>
      <family val="2"/>
      <scheme val="minor"/>
    </font>
    <font>
      <sz val="8"/>
      <name val="Arial"/>
      <family val="2"/>
    </font>
    <font>
      <b/>
      <sz val="16"/>
      <color theme="1"/>
      <name val="Calibri"/>
      <family val="2"/>
      <scheme val="minor"/>
    </font>
    <font>
      <sz val="10"/>
      <color theme="1"/>
      <name val="Lucida Sans"/>
      <family val="2"/>
    </font>
    <font>
      <sz val="12"/>
      <color theme="1"/>
      <name val="Lucida Sans"/>
      <family val="2"/>
    </font>
    <font>
      <sz val="12"/>
      <color theme="1"/>
      <name val="Calibri"/>
      <family val="2"/>
      <scheme val="minor"/>
    </font>
  </fonts>
  <fills count="25">
    <fill>
      <patternFill patternType="none"/>
    </fill>
    <fill>
      <patternFill patternType="gray125"/>
    </fill>
    <fill>
      <patternFill patternType="solid">
        <fgColor indexed="22"/>
        <bgColor indexed="64"/>
      </patternFill>
    </fill>
    <fill>
      <patternFill patternType="solid">
        <fgColor rgb="FFFFCC99"/>
      </patternFill>
    </fill>
    <fill>
      <patternFill patternType="solid">
        <fgColor rgb="FFF2F2F2"/>
      </patternFill>
    </fill>
    <fill>
      <patternFill patternType="solid">
        <fgColor rgb="FFFFFFCC"/>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rgb="FFFF0000"/>
        <bgColor indexed="64"/>
      </patternFill>
    </fill>
    <fill>
      <patternFill patternType="solid">
        <fgColor theme="6"/>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CC"/>
        <bgColor theme="2"/>
      </patternFill>
    </fill>
    <fill>
      <patternFill patternType="solid">
        <fgColor rgb="FFFFC00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bgColor theme="4" tint="0.79998168889431442"/>
      </patternFill>
    </fill>
    <fill>
      <patternFill patternType="solid">
        <fgColor theme="1"/>
        <bgColor indexed="64"/>
      </patternFill>
    </fill>
    <fill>
      <patternFill patternType="solid">
        <fgColor rgb="FFC00000"/>
        <bgColor indexed="64"/>
      </patternFill>
    </fill>
    <fill>
      <patternFill patternType="solid">
        <fgColor rgb="FF002060"/>
        <bgColor indexed="64"/>
      </patternFill>
    </fill>
  </fills>
  <borders count="3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rgb="FF7F7F7F"/>
      </left>
      <right style="thin">
        <color rgb="FF7F7F7F"/>
      </right>
      <top/>
      <bottom style="thin">
        <color rgb="FF7F7F7F"/>
      </bottom>
      <diagonal/>
    </border>
    <border>
      <left/>
      <right/>
      <top style="thick">
        <color rgb="FF5C8686"/>
      </top>
      <bottom/>
      <diagonal/>
    </border>
    <border>
      <left style="thin">
        <color rgb="FF3F3F3F"/>
      </left>
      <right/>
      <top style="thin">
        <color rgb="FF3F3F3F"/>
      </top>
      <bottom style="thin">
        <color rgb="FF3F3F3F"/>
      </bottom>
      <diagonal/>
    </border>
    <border>
      <left/>
      <right style="thin">
        <color rgb="FFB2B2B2"/>
      </right>
      <top style="thin">
        <color rgb="FFB2B2B2"/>
      </top>
      <bottom style="thin">
        <color rgb="FFB2B2B2"/>
      </bottom>
      <diagonal/>
    </border>
    <border>
      <left style="thin">
        <color rgb="FF7F7F7F"/>
      </left>
      <right style="thin">
        <color rgb="FF7F7F7F"/>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3F3F3F"/>
      </left>
      <right style="thin">
        <color rgb="FF3F3F3F"/>
      </right>
      <top style="thin">
        <color rgb="FF3F3F3F"/>
      </top>
      <bottom/>
      <diagonal/>
    </border>
  </borders>
  <cellStyleXfs count="34">
    <xf numFmtId="0" fontId="0" fillId="0" borderId="0"/>
    <xf numFmtId="43" fontId="19" fillId="0" borderId="0" applyFont="0" applyFill="0" applyBorder="0" applyAlignment="0" applyProtection="0"/>
    <xf numFmtId="44" fontId="19" fillId="0" borderId="0" applyFont="0" applyFill="0" applyBorder="0" applyAlignment="0" applyProtection="0"/>
    <xf numFmtId="0" fontId="11" fillId="0" borderId="0">
      <alignment horizontal="left" vertical="top"/>
    </xf>
    <xf numFmtId="0" fontId="17" fillId="0" borderId="0" applyFill="0" applyBorder="0" applyProtection="0">
      <alignment horizontal="left" vertical="top"/>
    </xf>
    <xf numFmtId="0" fontId="13" fillId="2" borderId="0" applyBorder="0" applyProtection="0">
      <alignment horizontal="left" vertical="top"/>
    </xf>
    <xf numFmtId="0" fontId="15" fillId="0" borderId="0">
      <alignment horizontal="left" vertical="top"/>
    </xf>
    <xf numFmtId="0" fontId="15" fillId="0" borderId="0" applyFill="0" applyBorder="0" applyProtection="0">
      <alignment horizontal="left" vertical="top"/>
    </xf>
    <xf numFmtId="0" fontId="10" fillId="0" borderId="0" applyFill="0" applyBorder="0" applyProtection="0">
      <alignment horizontal="left" vertical="top"/>
    </xf>
    <xf numFmtId="0" fontId="18" fillId="2" borderId="0" applyFill="0" applyBorder="0" applyProtection="0">
      <alignment horizontal="left" vertical="top"/>
    </xf>
    <xf numFmtId="0" fontId="9" fillId="0" borderId="0">
      <alignment horizontal="left" vertical="top"/>
    </xf>
    <xf numFmtId="0" fontId="14" fillId="0" borderId="0">
      <alignment horizontal="left" vertical="top"/>
    </xf>
    <xf numFmtId="0" fontId="6" fillId="0" borderId="0" applyFill="0" applyBorder="0" applyProtection="0">
      <alignment horizontal="left" vertical="top"/>
    </xf>
    <xf numFmtId="0" fontId="12" fillId="2" borderId="0" applyFill="0" applyBorder="0" applyProtection="0">
      <alignment horizontal="left" vertical="top"/>
    </xf>
    <xf numFmtId="0" fontId="8" fillId="0" borderId="0" applyFill="0" applyBorder="0" applyProtection="0">
      <alignment horizontal="left" vertical="top"/>
    </xf>
    <xf numFmtId="0" fontId="16" fillId="2" borderId="0" applyBorder="0" applyProtection="0"/>
    <xf numFmtId="9" fontId="4" fillId="0" borderId="0" applyFont="0" applyFill="0" applyBorder="0" applyAlignment="0" applyProtection="0"/>
    <xf numFmtId="0" fontId="2" fillId="3" borderId="1" applyNumberFormat="0" applyAlignment="0" applyProtection="0"/>
    <xf numFmtId="0" fontId="21" fillId="4" borderId="2" applyNumberFormat="0" applyAlignment="0" applyProtection="0"/>
    <xf numFmtId="0" fontId="22" fillId="4" borderId="1" applyNumberFormat="0" applyAlignment="0" applyProtection="0"/>
    <xf numFmtId="0" fontId="3" fillId="0" borderId="0"/>
    <xf numFmtId="0" fontId="3" fillId="5" borderId="3" applyNumberFormat="0" applyFont="0" applyAlignment="0" applyProtection="0"/>
    <xf numFmtId="43" fontId="3" fillId="0" borderId="0" applyFont="0" applyFill="0" applyBorder="0" applyAlignment="0" applyProtection="0"/>
    <xf numFmtId="0" fontId="27" fillId="0" borderId="0" applyNumberFormat="0" applyFill="0" applyBorder="0" applyAlignment="0" applyProtection="0"/>
    <xf numFmtId="43" fontId="28" fillId="0" borderId="0" applyFont="0" applyFill="0" applyBorder="0" applyAlignment="0" applyProtection="0"/>
    <xf numFmtId="9" fontId="3" fillId="0" borderId="0" applyFont="0" applyFill="0" applyBorder="0" applyAlignment="0" applyProtection="0"/>
    <xf numFmtId="165" fontId="28" fillId="0" borderId="0" applyFont="0" applyFill="0" applyBorder="0" applyAlignment="0" applyProtection="0"/>
    <xf numFmtId="44" fontId="28" fillId="0" borderId="0" applyFont="0" applyFill="0" applyBorder="0" applyAlignment="0" applyProtection="0"/>
    <xf numFmtId="0" fontId="32" fillId="0" borderId="0" applyNumberFormat="0" applyFill="0" applyBorder="0" applyAlignment="0" applyProtection="0"/>
    <xf numFmtId="0" fontId="48" fillId="0" borderId="0"/>
    <xf numFmtId="0" fontId="52" fillId="9" borderId="0" applyNumberFormat="0" applyProtection="0">
      <alignment horizontal="centerContinuous"/>
    </xf>
    <xf numFmtId="0" fontId="54" fillId="15" borderId="3" applyNumberFormat="0" applyAlignment="0" applyProtection="0"/>
    <xf numFmtId="3" fontId="2" fillId="3" borderId="1" applyAlignment="0" applyProtection="0"/>
    <xf numFmtId="0" fontId="60" fillId="0" borderId="0"/>
  </cellStyleXfs>
  <cellXfs count="352">
    <xf numFmtId="0" fontId="0" fillId="0" borderId="0" xfId="0"/>
    <xf numFmtId="0" fontId="5" fillId="0" borderId="0" xfId="0" applyFont="1"/>
    <xf numFmtId="0" fontId="0" fillId="0" borderId="0" xfId="0" applyAlignment="1">
      <alignment wrapText="1"/>
    </xf>
    <xf numFmtId="9" fontId="0" fillId="0" borderId="0" xfId="16" applyFont="1"/>
    <xf numFmtId="0" fontId="4" fillId="0" borderId="0" xfId="0" applyFont="1" applyAlignment="1">
      <alignment wrapText="1"/>
    </xf>
    <xf numFmtId="0" fontId="4" fillId="0" borderId="0" xfId="0" applyFont="1"/>
    <xf numFmtId="166" fontId="5" fillId="0" borderId="0" xfId="1" applyNumberFormat="1" applyFont="1"/>
    <xf numFmtId="166" fontId="0" fillId="0" borderId="0" xfId="0" applyNumberFormat="1"/>
    <xf numFmtId="0" fontId="3" fillId="0" borderId="0" xfId="20"/>
    <xf numFmtId="0" fontId="22" fillId="0" borderId="0" xfId="20" applyFont="1"/>
    <xf numFmtId="0" fontId="2" fillId="3" borderId="1" xfId="17"/>
    <xf numFmtId="168" fontId="0" fillId="0" borderId="0" xfId="22" applyNumberFormat="1" applyFont="1"/>
    <xf numFmtId="166" fontId="0" fillId="0" borderId="0" xfId="22" applyNumberFormat="1" applyFont="1"/>
    <xf numFmtId="0" fontId="5" fillId="0" borderId="4" xfId="0" applyFont="1" applyBorder="1" applyAlignment="1">
      <alignment wrapText="1"/>
    </xf>
    <xf numFmtId="0" fontId="0" fillId="0" borderId="4" xfId="0" applyBorder="1"/>
    <xf numFmtId="166" fontId="0" fillId="0" borderId="4" xfId="1" applyNumberFormat="1" applyFont="1" applyBorder="1"/>
    <xf numFmtId="0" fontId="4" fillId="0" borderId="4" xfId="0" applyFont="1" applyBorder="1"/>
    <xf numFmtId="167" fontId="0" fillId="0" borderId="4" xfId="0" applyNumberFormat="1" applyBorder="1"/>
    <xf numFmtId="9" fontId="0" fillId="0" borderId="4" xfId="0" applyNumberFormat="1" applyBorder="1"/>
    <xf numFmtId="0" fontId="4" fillId="0" borderId="4" xfId="0" applyFont="1" applyBorder="1" applyAlignment="1">
      <alignment wrapText="1"/>
    </xf>
    <xf numFmtId="166" fontId="30" fillId="7" borderId="4" xfId="1" applyNumberFormat="1" applyFont="1" applyFill="1" applyBorder="1"/>
    <xf numFmtId="3" fontId="0" fillId="0" borderId="4" xfId="0" applyNumberFormat="1" applyBorder="1"/>
    <xf numFmtId="0" fontId="0" fillId="8" borderId="0" xfId="0" applyFill="1"/>
    <xf numFmtId="0" fontId="31" fillId="9" borderId="0" xfId="0" applyFont="1" applyFill="1" applyAlignment="1">
      <alignment horizontal="centerContinuous"/>
    </xf>
    <xf numFmtId="0" fontId="4" fillId="8" borderId="0" xfId="0" applyFont="1" applyFill="1"/>
    <xf numFmtId="0" fontId="32" fillId="0" borderId="0" xfId="28"/>
    <xf numFmtId="0" fontId="33" fillId="0" borderId="5" xfId="0" applyFont="1" applyBorder="1" applyAlignment="1">
      <alignment horizontal="left"/>
    </xf>
    <xf numFmtId="0" fontId="34" fillId="0" borderId="6" xfId="0" applyFont="1" applyBorder="1"/>
    <xf numFmtId="0" fontId="35" fillId="0" borderId="6" xfId="0" applyFont="1" applyBorder="1" applyAlignment="1">
      <alignment horizontal="left"/>
    </xf>
    <xf numFmtId="0" fontId="0" fillId="8" borderId="6" xfId="0" applyFill="1" applyBorder="1"/>
    <xf numFmtId="0" fontId="0" fillId="8" borderId="7" xfId="0" applyFill="1" applyBorder="1"/>
    <xf numFmtId="0" fontId="34" fillId="0" borderId="8" xfId="0" applyFont="1" applyBorder="1"/>
    <xf numFmtId="0" fontId="34" fillId="0" borderId="0" xfId="0" applyFont="1"/>
    <xf numFmtId="0" fontId="0" fillId="8" borderId="9" xfId="0" applyFill="1" applyBorder="1"/>
    <xf numFmtId="0" fontId="35" fillId="0" borderId="8" xfId="0" applyFont="1" applyBorder="1" applyAlignment="1">
      <alignment horizontal="left"/>
    </xf>
    <xf numFmtId="0" fontId="36" fillId="0" borderId="0" xfId="0" applyFont="1" applyAlignment="1">
      <alignment horizontal="left"/>
    </xf>
    <xf numFmtId="0" fontId="36" fillId="0" borderId="8" xfId="0" applyFont="1" applyBorder="1" applyAlignment="1">
      <alignment horizontal="left"/>
    </xf>
    <xf numFmtId="0" fontId="36" fillId="0" borderId="0" xfId="0" applyFont="1" applyAlignment="1">
      <alignment horizontal="center"/>
    </xf>
    <xf numFmtId="0" fontId="36" fillId="0" borderId="0" xfId="0" applyFont="1" applyAlignment="1">
      <alignment horizontal="right"/>
    </xf>
    <xf numFmtId="0" fontId="34" fillId="0" borderId="0" xfId="0" applyFont="1" applyAlignment="1">
      <alignment horizontal="center"/>
    </xf>
    <xf numFmtId="0" fontId="34" fillId="0" borderId="0" xfId="0" applyFont="1" applyAlignment="1">
      <alignment horizontal="left"/>
    </xf>
    <xf numFmtId="0" fontId="35" fillId="0" borderId="0" xfId="0" applyFont="1" applyAlignment="1">
      <alignment horizontal="left"/>
    </xf>
    <xf numFmtId="0" fontId="36" fillId="0" borderId="8"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left" vertical="center"/>
    </xf>
    <xf numFmtId="0" fontId="36" fillId="0" borderId="10" xfId="0" applyFont="1" applyBorder="1" applyAlignment="1">
      <alignment horizontal="left"/>
    </xf>
    <xf numFmtId="0" fontId="36" fillId="0" borderId="11" xfId="0" applyFont="1" applyBorder="1" applyAlignment="1">
      <alignment horizontal="center"/>
    </xf>
    <xf numFmtId="0" fontId="34" fillId="0" borderId="11" xfId="0" applyFont="1" applyBorder="1"/>
    <xf numFmtId="0" fontId="0" fillId="8" borderId="11" xfId="0" applyFill="1" applyBorder="1"/>
    <xf numFmtId="0" fontId="0" fillId="8" borderId="12" xfId="0" applyFill="1" applyBorder="1"/>
    <xf numFmtId="0" fontId="4" fillId="5" borderId="3" xfId="21" applyFont="1"/>
    <xf numFmtId="3" fontId="3" fillId="0" borderId="0" xfId="20" applyNumberFormat="1"/>
    <xf numFmtId="166" fontId="3" fillId="0" borderId="0" xfId="20" applyNumberFormat="1"/>
    <xf numFmtId="17" fontId="4" fillId="8" borderId="0" xfId="0" applyNumberFormat="1" applyFont="1" applyFill="1" applyAlignment="1">
      <alignment horizontal="left"/>
    </xf>
    <xf numFmtId="0" fontId="39" fillId="0" borderId="4" xfId="0" applyFont="1" applyBorder="1" applyAlignment="1">
      <alignment horizontal="center" vertical="center" wrapText="1"/>
    </xf>
    <xf numFmtId="0" fontId="39" fillId="0" borderId="15" xfId="0" applyFont="1" applyBorder="1" applyAlignment="1">
      <alignment horizontal="centerContinuous" vertical="center"/>
    </xf>
    <xf numFmtId="0" fontId="39" fillId="0" borderId="19" xfId="0" applyFont="1" applyBorder="1" applyAlignment="1">
      <alignment horizontal="centerContinuous" vertical="center"/>
    </xf>
    <xf numFmtId="3" fontId="44" fillId="0" borderId="13" xfId="0" applyNumberFormat="1" applyFont="1" applyBorder="1" applyAlignment="1">
      <alignment horizontal="right"/>
    </xf>
    <xf numFmtId="0" fontId="44" fillId="0" borderId="13" xfId="0" applyFont="1" applyBorder="1" applyAlignment="1">
      <alignment horizontal="right"/>
    </xf>
    <xf numFmtId="0" fontId="39" fillId="0" borderId="6" xfId="0" applyFont="1" applyBorder="1"/>
    <xf numFmtId="0" fontId="39" fillId="0" borderId="6" xfId="0" applyFont="1" applyBorder="1" applyAlignment="1">
      <alignment horizontal="right"/>
    </xf>
    <xf numFmtId="0" fontId="39" fillId="0" borderId="7" xfId="0" applyFont="1" applyBorder="1" applyAlignment="1">
      <alignment horizontal="right"/>
    </xf>
    <xf numFmtId="0" fontId="39" fillId="0" borderId="8" xfId="0" applyFont="1" applyBorder="1" applyAlignment="1">
      <alignment horizontal="centerContinuous" vertical="center"/>
    </xf>
    <xf numFmtId="0" fontId="39" fillId="0" borderId="0" xfId="0" applyFont="1" applyAlignment="1">
      <alignment horizontal="centerContinuous" vertical="center"/>
    </xf>
    <xf numFmtId="0" fontId="39" fillId="0" borderId="0" xfId="0" applyFont="1" applyAlignment="1">
      <alignment horizontal="right" vertical="center"/>
    </xf>
    <xf numFmtId="0" fontId="39" fillId="0" borderId="9" xfId="0" applyFont="1" applyBorder="1" applyAlignment="1">
      <alignment horizontal="right" vertical="center"/>
    </xf>
    <xf numFmtId="0" fontId="39" fillId="0" borderId="0" xfId="0" applyFont="1"/>
    <xf numFmtId="0" fontId="39" fillId="0" borderId="0" xfId="0" applyFont="1" applyAlignment="1">
      <alignment horizontal="right"/>
    </xf>
    <xf numFmtId="0" fontId="39" fillId="0" borderId="9" xfId="0" applyFont="1" applyBorder="1" applyAlignment="1">
      <alignment horizontal="right"/>
    </xf>
    <xf numFmtId="3" fontId="39" fillId="0" borderId="0" xfId="0" applyNumberFormat="1" applyFont="1" applyAlignment="1">
      <alignment horizontal="right"/>
    </xf>
    <xf numFmtId="3" fontId="44" fillId="0" borderId="0" xfId="0" applyNumberFormat="1" applyFont="1" applyAlignment="1">
      <alignment horizontal="right"/>
    </xf>
    <xf numFmtId="0" fontId="44" fillId="0" borderId="0" xfId="0" applyFont="1" applyAlignment="1">
      <alignment horizontal="right"/>
    </xf>
    <xf numFmtId="0" fontId="44" fillId="0" borderId="9" xfId="0" applyFont="1" applyBorder="1" applyAlignment="1">
      <alignment horizontal="right"/>
    </xf>
    <xf numFmtId="0" fontId="44" fillId="0" borderId="24" xfId="0" applyFont="1" applyBorder="1" applyAlignment="1">
      <alignment horizontal="right"/>
    </xf>
    <xf numFmtId="0" fontId="39" fillId="0" borderId="8" xfId="0" applyFont="1" applyBorder="1" applyAlignment="1">
      <alignment vertical="top" wrapText="1"/>
    </xf>
    <xf numFmtId="0" fontId="39" fillId="0" borderId="0" xfId="0" applyFont="1" applyAlignment="1">
      <alignment horizontal="left" vertical="top" wrapText="1"/>
    </xf>
    <xf numFmtId="0" fontId="39" fillId="0" borderId="9" xfId="0" applyFont="1" applyBorder="1" applyAlignment="1">
      <alignment vertical="top" wrapText="1"/>
    </xf>
    <xf numFmtId="0" fontId="39" fillId="0" borderId="8" xfId="0" applyFont="1" applyBorder="1" applyAlignment="1">
      <alignment vertical="top"/>
    </xf>
    <xf numFmtId="0" fontId="39" fillId="0" borderId="0" xfId="0" applyFont="1" applyAlignment="1">
      <alignment horizontal="left" vertical="top"/>
    </xf>
    <xf numFmtId="0" fontId="39" fillId="0" borderId="0" xfId="0" applyFont="1" applyAlignment="1">
      <alignment vertical="top"/>
    </xf>
    <xf numFmtId="0" fontId="39" fillId="0" borderId="9" xfId="0" applyFont="1" applyBorder="1" applyAlignment="1">
      <alignment horizontal="right" vertical="top"/>
    </xf>
    <xf numFmtId="0" fontId="39" fillId="0" borderId="8" xfId="0" applyFont="1" applyBorder="1" applyAlignment="1">
      <alignment horizontal="left" vertical="top"/>
    </xf>
    <xf numFmtId="0" fontId="39" fillId="0" borderId="9" xfId="0" applyFont="1" applyBorder="1" applyAlignment="1">
      <alignment horizontal="left" vertical="top" wrapText="1"/>
    </xf>
    <xf numFmtId="0" fontId="39" fillId="0" borderId="8" xfId="0" applyFont="1" applyBorder="1" applyAlignment="1">
      <alignment horizontal="left"/>
    </xf>
    <xf numFmtId="0" fontId="39" fillId="0" borderId="0" xfId="0" applyFont="1" applyAlignment="1">
      <alignment horizontal="left"/>
    </xf>
    <xf numFmtId="0" fontId="39" fillId="0" borderId="9" xfId="0" applyFont="1" applyBorder="1" applyAlignment="1">
      <alignment horizontal="left"/>
    </xf>
    <xf numFmtId="0" fontId="39" fillId="0" borderId="0" xfId="0" applyFont="1" applyAlignment="1">
      <alignment horizontal="center"/>
    </xf>
    <xf numFmtId="0" fontId="39" fillId="0" borderId="9" xfId="0" applyFont="1" applyBorder="1"/>
    <xf numFmtId="0" fontId="39" fillId="0" borderId="11" xfId="0" applyFont="1" applyBorder="1"/>
    <xf numFmtId="0" fontId="39" fillId="0" borderId="11" xfId="0" applyFont="1" applyBorder="1" applyAlignment="1">
      <alignment horizontal="right"/>
    </xf>
    <xf numFmtId="0" fontId="39" fillId="0" borderId="12" xfId="0" applyFont="1" applyBorder="1" applyAlignment="1">
      <alignment horizontal="right"/>
    </xf>
    <xf numFmtId="0" fontId="22" fillId="7" borderId="4" xfId="20" applyFont="1" applyFill="1" applyBorder="1" applyAlignment="1">
      <alignment horizontal="center"/>
    </xf>
    <xf numFmtId="0" fontId="2" fillId="3" borderId="29" xfId="17" applyBorder="1"/>
    <xf numFmtId="166" fontId="29" fillId="7" borderId="4" xfId="1" applyNumberFormat="1"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4" xfId="0" applyFont="1" applyFill="1" applyBorder="1" applyAlignment="1">
      <alignment horizontal="center" vertical="center" wrapText="1"/>
    </xf>
    <xf numFmtId="10" fontId="0" fillId="0" borderId="4" xfId="16" applyNumberFormat="1" applyFont="1" applyBorder="1"/>
    <xf numFmtId="0" fontId="0" fillId="7" borderId="4" xfId="0" applyFill="1" applyBorder="1"/>
    <xf numFmtId="0" fontId="0" fillId="7" borderId="4" xfId="0" applyFill="1" applyBorder="1" applyAlignment="1">
      <alignment horizontal="center" vertical="center"/>
    </xf>
    <xf numFmtId="0" fontId="45" fillId="9" borderId="0" xfId="0" applyFont="1" applyFill="1" applyAlignment="1">
      <alignment horizontal="centerContinuous"/>
    </xf>
    <xf numFmtId="0" fontId="46" fillId="9" borderId="0" xfId="0" applyFont="1" applyFill="1" applyAlignment="1">
      <alignment horizontal="centerContinuous"/>
    </xf>
    <xf numFmtId="0" fontId="0" fillId="7" borderId="4" xfId="0" applyFill="1" applyBorder="1" applyAlignment="1">
      <alignment horizontal="center" vertical="center" wrapText="1"/>
    </xf>
    <xf numFmtId="0" fontId="4" fillId="7" borderId="4" xfId="0" applyFont="1" applyFill="1" applyBorder="1" applyAlignment="1">
      <alignment horizontal="center" vertical="center" wrapText="1"/>
    </xf>
    <xf numFmtId="0" fontId="0" fillId="0" borderId="4" xfId="0" applyBorder="1" applyAlignment="1">
      <alignment horizontal="right"/>
    </xf>
    <xf numFmtId="43" fontId="0" fillId="0" borderId="4" xfId="1" applyFont="1" applyBorder="1"/>
    <xf numFmtId="0" fontId="4" fillId="13" borderId="0" xfId="0" applyFont="1" applyFill="1"/>
    <xf numFmtId="0" fontId="4" fillId="13" borderId="0" xfId="0" applyFont="1" applyFill="1" applyAlignment="1">
      <alignment horizontal="right"/>
    </xf>
    <xf numFmtId="0" fontId="4" fillId="7" borderId="4" xfId="0" applyFont="1" applyFill="1" applyBorder="1" applyAlignment="1">
      <alignment horizontal="center" vertical="center"/>
    </xf>
    <xf numFmtId="0" fontId="0" fillId="0" borderId="0" xfId="0" applyAlignment="1">
      <alignment horizontal="center" vertical="center"/>
    </xf>
    <xf numFmtId="0" fontId="4" fillId="0" borderId="0" xfId="0" applyFont="1" applyAlignment="1">
      <alignment horizontal="right"/>
    </xf>
    <xf numFmtId="0" fontId="4" fillId="7" borderId="4" xfId="0" applyFont="1" applyFill="1" applyBorder="1"/>
    <xf numFmtId="0" fontId="4" fillId="7" borderId="4" xfId="0" applyFont="1" applyFill="1" applyBorder="1" applyAlignment="1">
      <alignment horizontal="right" vertical="center"/>
    </xf>
    <xf numFmtId="0" fontId="47" fillId="9" borderId="0" xfId="0" applyFont="1" applyFill="1" applyAlignment="1">
      <alignment horizontal="centerContinuous"/>
    </xf>
    <xf numFmtId="0" fontId="4" fillId="0" borderId="4" xfId="0" quotePrefix="1" applyFont="1" applyBorder="1" applyAlignment="1">
      <alignment horizontal="right"/>
    </xf>
    <xf numFmtId="0" fontId="5" fillId="7" borderId="4" xfId="0" applyFont="1" applyFill="1" applyBorder="1"/>
    <xf numFmtId="0" fontId="49" fillId="0" borderId="0" xfId="29" applyFont="1" applyAlignment="1">
      <alignment horizontal="center" vertical="center"/>
    </xf>
    <xf numFmtId="0" fontId="49" fillId="0" borderId="0" xfId="29" applyFont="1" applyAlignment="1">
      <alignment horizontal="center" vertical="center" wrapText="1"/>
    </xf>
    <xf numFmtId="0" fontId="49" fillId="0" borderId="0" xfId="0" applyFont="1" applyAlignment="1">
      <alignment wrapText="1"/>
    </xf>
    <xf numFmtId="0" fontId="48" fillId="0" borderId="0" xfId="29"/>
    <xf numFmtId="164" fontId="50" fillId="0" borderId="0" xfId="0" applyNumberFormat="1" applyFont="1"/>
    <xf numFmtId="164" fontId="50" fillId="6" borderId="0" xfId="0" applyNumberFormat="1" applyFont="1" applyFill="1"/>
    <xf numFmtId="164" fontId="49" fillId="0" borderId="0" xfId="0" applyNumberFormat="1" applyFont="1"/>
    <xf numFmtId="164" fontId="49" fillId="6" borderId="0" xfId="0" applyNumberFormat="1" applyFont="1" applyFill="1"/>
    <xf numFmtId="0" fontId="49" fillId="0" borderId="30" xfId="29" applyFont="1" applyBorder="1"/>
    <xf numFmtId="164" fontId="49" fillId="0" borderId="14" xfId="0" applyNumberFormat="1" applyFont="1" applyBorder="1"/>
    <xf numFmtId="164" fontId="51" fillId="0" borderId="14" xfId="0" applyNumberFormat="1" applyFont="1" applyBorder="1"/>
    <xf numFmtId="0" fontId="49" fillId="0" borderId="0" xfId="29" applyFont="1"/>
    <xf numFmtId="0" fontId="49" fillId="0" borderId="14" xfId="29" applyFont="1" applyBorder="1"/>
    <xf numFmtId="0" fontId="36" fillId="6" borderId="8" xfId="0" applyFont="1" applyFill="1" applyBorder="1" applyAlignment="1">
      <alignment horizontal="left"/>
    </xf>
    <xf numFmtId="0" fontId="36" fillId="6" borderId="0" xfId="0" applyFont="1" applyFill="1" applyAlignment="1">
      <alignment horizontal="right"/>
    </xf>
    <xf numFmtId="0" fontId="36" fillId="6" borderId="0" xfId="0" applyFont="1" applyFill="1" applyAlignment="1">
      <alignment horizontal="left"/>
    </xf>
    <xf numFmtId="0" fontId="36" fillId="6" borderId="0" xfId="0" applyFont="1" applyFill="1" applyAlignment="1">
      <alignment horizontal="center"/>
    </xf>
    <xf numFmtId="0" fontId="36" fillId="6" borderId="4" xfId="0" applyFont="1" applyFill="1" applyBorder="1" applyAlignment="1">
      <alignment horizontal="right"/>
    </xf>
    <xf numFmtId="0" fontId="23" fillId="5" borderId="32" xfId="21" applyFont="1" applyBorder="1"/>
    <xf numFmtId="10" fontId="2" fillId="3" borderId="1" xfId="17" applyNumberFormat="1"/>
    <xf numFmtId="9" fontId="2" fillId="3" borderId="1" xfId="17" applyNumberFormat="1"/>
    <xf numFmtId="0" fontId="4" fillId="0" borderId="4" xfId="0" applyFont="1" applyBorder="1" applyAlignment="1">
      <alignment horizontal="right"/>
    </xf>
    <xf numFmtId="0" fontId="4" fillId="7" borderId="4" xfId="0" applyFont="1" applyFill="1" applyBorder="1" applyAlignment="1">
      <alignment horizontal="right"/>
    </xf>
    <xf numFmtId="0" fontId="5" fillId="0" borderId="4" xfId="0" applyFont="1" applyBorder="1" applyAlignment="1">
      <alignment horizontal="center" vertical="center" wrapText="1"/>
    </xf>
    <xf numFmtId="0" fontId="5" fillId="7" borderId="4" xfId="0" applyFont="1" applyFill="1" applyBorder="1" applyAlignment="1">
      <alignment horizontal="center"/>
    </xf>
    <xf numFmtId="0" fontId="0" fillId="7" borderId="4" xfId="0" applyFill="1" applyBorder="1" applyAlignment="1">
      <alignment horizontal="right"/>
    </xf>
    <xf numFmtId="0" fontId="0" fillId="7" borderId="0" xfId="0" applyFill="1" applyAlignment="1">
      <alignment horizontal="centerContinuous"/>
    </xf>
    <xf numFmtId="0" fontId="4" fillId="7" borderId="0" xfId="0" applyFont="1" applyFill="1" applyAlignment="1">
      <alignment horizontal="centerContinuous"/>
    </xf>
    <xf numFmtId="0" fontId="5" fillId="7" borderId="4" xfId="0" applyFont="1" applyFill="1" applyBorder="1" applyAlignment="1">
      <alignment horizontal="right"/>
    </xf>
    <xf numFmtId="0" fontId="0" fillId="14" borderId="4" xfId="0" applyFill="1" applyBorder="1"/>
    <xf numFmtId="10" fontId="0" fillId="0" borderId="0" xfId="16" applyNumberFormat="1" applyFont="1" applyBorder="1"/>
    <xf numFmtId="10" fontId="0" fillId="14" borderId="4" xfId="16" applyNumberFormat="1" applyFont="1" applyFill="1" applyBorder="1"/>
    <xf numFmtId="0" fontId="2" fillId="3" borderId="1" xfId="17" applyAlignment="1">
      <alignment horizontal="center" vertical="center"/>
    </xf>
    <xf numFmtId="3" fontId="2" fillId="3" borderId="1" xfId="32"/>
    <xf numFmtId="0" fontId="54" fillId="15" borderId="3" xfId="31"/>
    <xf numFmtId="3" fontId="2" fillId="3" borderId="29" xfId="32" applyBorder="1"/>
    <xf numFmtId="166" fontId="0" fillId="0" borderId="4" xfId="22" applyNumberFormat="1" applyFont="1" applyBorder="1" applyAlignment="1">
      <alignment horizontal="center"/>
    </xf>
    <xf numFmtId="0" fontId="52" fillId="9" borderId="0" xfId="30">
      <alignment horizontal="centerContinuous"/>
    </xf>
    <xf numFmtId="0" fontId="53" fillId="10" borderId="4" xfId="30" applyFont="1" applyFill="1" applyBorder="1" applyAlignment="1">
      <alignment horizontal="centerContinuous" wrapText="1"/>
    </xf>
    <xf numFmtId="0" fontId="3" fillId="0" borderId="0" xfId="20" applyAlignment="1">
      <alignment horizontal="right"/>
    </xf>
    <xf numFmtId="0" fontId="3" fillId="0" borderId="0" xfId="20" applyAlignment="1">
      <alignment horizontal="right" vertical="center"/>
    </xf>
    <xf numFmtId="0" fontId="22" fillId="0" borderId="0" xfId="20" applyFont="1" applyAlignment="1">
      <alignment horizontal="right"/>
    </xf>
    <xf numFmtId="0" fontId="22" fillId="0" borderId="0" xfId="20" applyFont="1" applyAlignment="1">
      <alignment horizontal="center"/>
    </xf>
    <xf numFmtId="0" fontId="32" fillId="8" borderId="0" xfId="28" applyFill="1"/>
    <xf numFmtId="170" fontId="2" fillId="3" borderId="1" xfId="17" applyNumberFormat="1"/>
    <xf numFmtId="0" fontId="4" fillId="7" borderId="4" xfId="0" applyFont="1" applyFill="1" applyBorder="1" applyAlignment="1">
      <alignment horizontal="right" vertical="center" wrapText="1"/>
    </xf>
    <xf numFmtId="166" fontId="0" fillId="14" borderId="4" xfId="1" applyNumberFormat="1" applyFont="1" applyFill="1" applyBorder="1"/>
    <xf numFmtId="166" fontId="0" fillId="14" borderId="4" xfId="1" applyNumberFormat="1" applyFont="1" applyFill="1" applyBorder="1" applyAlignment="1">
      <alignment horizontal="right"/>
    </xf>
    <xf numFmtId="0" fontId="0" fillId="14" borderId="4" xfId="0" applyFill="1" applyBorder="1" applyAlignment="1">
      <alignment horizontal="right"/>
    </xf>
    <xf numFmtId="0" fontId="0" fillId="0" borderId="0" xfId="0" applyAlignment="1">
      <alignment horizontal="right"/>
    </xf>
    <xf numFmtId="0" fontId="4" fillId="0" borderId="0" xfId="0" quotePrefix="1" applyFont="1"/>
    <xf numFmtId="169" fontId="0" fillId="14" borderId="4" xfId="2" applyNumberFormat="1" applyFont="1" applyFill="1" applyBorder="1"/>
    <xf numFmtId="0" fontId="46" fillId="10" borderId="0" xfId="0" applyFont="1" applyFill="1" applyAlignment="1">
      <alignment horizontal="centerContinuous"/>
    </xf>
    <xf numFmtId="0" fontId="0" fillId="11" borderId="0" xfId="0" applyFill="1" applyAlignment="1">
      <alignment horizontal="centerContinuous"/>
    </xf>
    <xf numFmtId="0" fontId="4" fillId="11" borderId="0" xfId="0" applyFont="1" applyFill="1" applyAlignment="1">
      <alignment horizontal="centerContinuous"/>
    </xf>
    <xf numFmtId="43" fontId="3" fillId="0" borderId="0" xfId="20" applyNumberFormat="1"/>
    <xf numFmtId="166" fontId="57" fillId="17" borderId="34" xfId="1" applyNumberFormat="1" applyFont="1" applyFill="1" applyBorder="1"/>
    <xf numFmtId="166" fontId="57" fillId="17" borderId="35" xfId="1" applyNumberFormat="1" applyFont="1" applyFill="1" applyBorder="1"/>
    <xf numFmtId="166" fontId="57" fillId="17" borderId="36" xfId="1" applyNumberFormat="1" applyFont="1" applyFill="1" applyBorder="1"/>
    <xf numFmtId="166" fontId="0" fillId="18" borderId="34" xfId="1" applyNumberFormat="1" applyFont="1" applyFill="1" applyBorder="1"/>
    <xf numFmtId="166" fontId="0" fillId="18" borderId="35" xfId="1" applyNumberFormat="1" applyFont="1" applyFill="1" applyBorder="1"/>
    <xf numFmtId="166" fontId="0" fillId="18" borderId="36" xfId="1" applyNumberFormat="1" applyFont="1" applyFill="1" applyBorder="1"/>
    <xf numFmtId="166" fontId="0" fillId="0" borderId="34" xfId="1" applyNumberFormat="1" applyFont="1" applyBorder="1"/>
    <xf numFmtId="166" fontId="0" fillId="0" borderId="35" xfId="1" applyNumberFormat="1" applyFont="1" applyBorder="1"/>
    <xf numFmtId="166" fontId="0" fillId="0" borderId="36" xfId="1" applyNumberFormat="1" applyFont="1" applyBorder="1"/>
    <xf numFmtId="0" fontId="3" fillId="0" borderId="4" xfId="20" applyBorder="1" applyAlignment="1">
      <alignment horizontal="center"/>
    </xf>
    <xf numFmtId="0" fontId="1" fillId="7" borderId="4" xfId="20" applyFont="1" applyFill="1" applyBorder="1" applyAlignment="1">
      <alignment horizontal="right" wrapText="1"/>
    </xf>
    <xf numFmtId="166" fontId="0" fillId="7" borderId="4" xfId="1" applyNumberFormat="1" applyFont="1" applyFill="1" applyBorder="1" applyAlignment="1">
      <alignment wrapText="1"/>
    </xf>
    <xf numFmtId="166" fontId="0" fillId="21" borderId="4" xfId="1" applyNumberFormat="1" applyFont="1" applyFill="1" applyBorder="1" applyAlignment="1">
      <alignment wrapText="1"/>
    </xf>
    <xf numFmtId="166" fontId="0" fillId="7" borderId="4" xfId="1" applyNumberFormat="1" applyFont="1" applyFill="1" applyBorder="1" applyAlignment="1"/>
    <xf numFmtId="166" fontId="1" fillId="4" borderId="2" xfId="18" applyNumberFormat="1" applyFont="1"/>
    <xf numFmtId="166" fontId="1" fillId="4" borderId="37" xfId="18" applyNumberFormat="1" applyFont="1" applyBorder="1"/>
    <xf numFmtId="166" fontId="4" fillId="7" borderId="4" xfId="1" applyNumberFormat="1" applyFont="1" applyFill="1" applyBorder="1" applyAlignment="1">
      <alignment wrapText="1"/>
    </xf>
    <xf numFmtId="0" fontId="0" fillId="8" borderId="17" xfId="0" applyFill="1" applyBorder="1"/>
    <xf numFmtId="0" fontId="0" fillId="8" borderId="4" xfId="0" applyFill="1" applyBorder="1"/>
    <xf numFmtId="0" fontId="0" fillId="22" borderId="4" xfId="0" applyFill="1" applyBorder="1"/>
    <xf numFmtId="15" fontId="0" fillId="8" borderId="4" xfId="0" applyNumberFormat="1" applyFill="1" applyBorder="1"/>
    <xf numFmtId="0" fontId="31" fillId="23" borderId="0" xfId="0" applyFont="1" applyFill="1" applyAlignment="1">
      <alignment horizontal="centerContinuous"/>
    </xf>
    <xf numFmtId="0" fontId="5" fillId="7" borderId="4" xfId="0" applyFont="1" applyFill="1" applyBorder="1" applyAlignment="1">
      <alignment horizontal="left" vertical="center" wrapText="1"/>
    </xf>
    <xf numFmtId="0" fontId="0" fillId="7" borderId="4" xfId="0" applyFill="1" applyBorder="1" applyAlignment="1">
      <alignment horizontal="center"/>
    </xf>
    <xf numFmtId="0" fontId="4" fillId="7" borderId="4" xfId="0" applyFont="1" applyFill="1" applyBorder="1" applyAlignment="1">
      <alignment horizontal="center"/>
    </xf>
    <xf numFmtId="166" fontId="45" fillId="23" borderId="0" xfId="1" applyNumberFormat="1" applyFont="1" applyFill="1" applyAlignment="1">
      <alignment horizontal="centerContinuous"/>
    </xf>
    <xf numFmtId="0" fontId="31" fillId="24" borderId="0" xfId="0" applyFont="1" applyFill="1" applyAlignment="1">
      <alignment horizontal="centerContinuous"/>
    </xf>
    <xf numFmtId="0" fontId="1" fillId="0" borderId="4" xfId="20" applyFont="1" applyBorder="1" applyAlignment="1">
      <alignment horizontal="center"/>
    </xf>
    <xf numFmtId="0" fontId="1" fillId="7" borderId="4" xfId="20" applyFont="1" applyFill="1" applyBorder="1" applyAlignment="1">
      <alignment horizontal="right"/>
    </xf>
    <xf numFmtId="0" fontId="1" fillId="0" borderId="0" xfId="20" applyFont="1" applyAlignment="1">
      <alignment horizontal="right" vertical="center"/>
    </xf>
    <xf numFmtId="0" fontId="1" fillId="6" borderId="0" xfId="20" applyFont="1" applyFill="1"/>
    <xf numFmtId="0" fontId="1" fillId="0" borderId="0" xfId="20" applyFont="1"/>
    <xf numFmtId="0" fontId="1" fillId="0" borderId="0" xfId="20" applyFont="1" applyAlignment="1">
      <alignment horizontal="right"/>
    </xf>
    <xf numFmtId="0" fontId="1" fillId="16" borderId="0" xfId="20" applyFont="1" applyFill="1"/>
    <xf numFmtId="166" fontId="1" fillId="3" borderId="4" xfId="1" applyNumberFormat="1" applyFont="1" applyFill="1" applyBorder="1"/>
    <xf numFmtId="0" fontId="1" fillId="7" borderId="4" xfId="20" applyFont="1" applyFill="1" applyBorder="1" applyAlignment="1">
      <alignment horizontal="center" vertical="center"/>
    </xf>
    <xf numFmtId="166" fontId="1" fillId="0" borderId="0" xfId="1" applyNumberFormat="1" applyFont="1"/>
    <xf numFmtId="166" fontId="1" fillId="3" borderId="1" xfId="1" applyNumberFormat="1" applyFont="1" applyFill="1" applyBorder="1"/>
    <xf numFmtId="0" fontId="34" fillId="12" borderId="0" xfId="0" applyFont="1" applyFill="1"/>
    <xf numFmtId="166" fontId="0" fillId="8" borderId="4" xfId="1" applyNumberFormat="1" applyFont="1" applyFill="1" applyBorder="1"/>
    <xf numFmtId="0" fontId="1" fillId="0" borderId="4" xfId="20" applyFont="1" applyBorder="1" applyAlignment="1">
      <alignment horizontal="right" vertical="center"/>
    </xf>
    <xf numFmtId="2" fontId="0" fillId="8" borderId="4" xfId="0" applyNumberFormat="1" applyFill="1" applyBorder="1"/>
    <xf numFmtId="0" fontId="31" fillId="10" borderId="0" xfId="0" applyFont="1" applyFill="1" applyAlignment="1">
      <alignment horizontal="centerContinuous"/>
    </xf>
    <xf numFmtId="0" fontId="59" fillId="8" borderId="0" xfId="0" applyFont="1" applyFill="1" applyAlignment="1">
      <alignment wrapText="1"/>
    </xf>
    <xf numFmtId="9" fontId="0" fillId="8" borderId="4" xfId="16" applyFont="1" applyFill="1" applyBorder="1"/>
    <xf numFmtId="9" fontId="5" fillId="8" borderId="4" xfId="16" applyFont="1" applyFill="1" applyBorder="1"/>
    <xf numFmtId="0" fontId="62" fillId="7" borderId="4" xfId="33" applyFont="1" applyFill="1" applyBorder="1" applyAlignment="1">
      <alignment horizontal="center" vertical="center"/>
    </xf>
    <xf numFmtId="9" fontId="0" fillId="7" borderId="4" xfId="16" applyFont="1" applyFill="1" applyBorder="1"/>
    <xf numFmtId="9" fontId="62" fillId="0" borderId="4" xfId="16" applyFont="1" applyBorder="1"/>
    <xf numFmtId="166" fontId="61" fillId="0" borderId="0" xfId="1" applyNumberFormat="1" applyFont="1"/>
    <xf numFmtId="169" fontId="2" fillId="3" borderId="1" xfId="17" applyNumberFormat="1"/>
    <xf numFmtId="10" fontId="0" fillId="0" borderId="0" xfId="16" applyNumberFormat="1" applyFont="1"/>
    <xf numFmtId="10" fontId="0" fillId="0" borderId="0" xfId="0" applyNumberFormat="1"/>
    <xf numFmtId="0" fontId="3" fillId="0" borderId="13" xfId="20" applyBorder="1"/>
    <xf numFmtId="0" fontId="4" fillId="8" borderId="0" xfId="0" applyFont="1" applyFill="1" applyAlignment="1">
      <alignment horizontal="left" vertical="top" wrapText="1"/>
    </xf>
    <xf numFmtId="0" fontId="0" fillId="8" borderId="0" xfId="0" applyFill="1" applyAlignment="1">
      <alignment horizontal="left" vertical="top" wrapText="1"/>
    </xf>
    <xf numFmtId="0" fontId="34" fillId="0" borderId="0" xfId="0" applyFont="1"/>
    <xf numFmtId="0" fontId="36" fillId="0" borderId="8" xfId="0" applyFont="1" applyBorder="1" applyAlignment="1">
      <alignment horizontal="left"/>
    </xf>
    <xf numFmtId="0" fontId="44" fillId="0" borderId="10" xfId="0" applyFont="1" applyBorder="1"/>
    <xf numFmtId="0" fontId="44" fillId="0" borderId="11" xfId="0" applyFont="1" applyBorder="1"/>
    <xf numFmtId="0" fontId="44" fillId="0" borderId="8" xfId="0" applyFont="1" applyBorder="1"/>
    <xf numFmtId="0" fontId="44" fillId="0" borderId="0" xfId="0" applyFont="1"/>
    <xf numFmtId="0" fontId="44" fillId="0" borderId="23" xfId="0" applyFont="1" applyBorder="1"/>
    <xf numFmtId="0" fontId="44" fillId="0" borderId="13" xfId="0" applyFont="1" applyBorder="1"/>
    <xf numFmtId="0" fontId="39" fillId="0" borderId="25" xfId="0" applyFont="1" applyBorder="1"/>
    <xf numFmtId="0" fontId="39" fillId="0" borderId="14" xfId="0" applyFont="1" applyBorder="1"/>
    <xf numFmtId="0" fontId="39" fillId="0" borderId="0" xfId="0" applyFont="1" applyAlignment="1">
      <alignment horizontal="left" vertical="top" wrapText="1"/>
    </xf>
    <xf numFmtId="0" fontId="39" fillId="0" borderId="0" xfId="0" applyFont="1" applyAlignment="1">
      <alignment horizontal="left" vertical="top"/>
    </xf>
    <xf numFmtId="0" fontId="39" fillId="0" borderId="9" xfId="0" applyFont="1" applyBorder="1" applyAlignment="1">
      <alignment horizontal="left" vertical="top" wrapText="1"/>
    </xf>
    <xf numFmtId="0" fontId="39" fillId="0" borderId="8" xfId="0" applyFont="1" applyBorder="1" applyAlignment="1">
      <alignment horizontal="left" vertical="top"/>
    </xf>
    <xf numFmtId="0" fontId="39" fillId="0" borderId="8" xfId="0" applyFont="1" applyBorder="1" applyAlignment="1">
      <alignment vertical="top"/>
    </xf>
    <xf numFmtId="0" fontId="39" fillId="0" borderId="0" xfId="0" applyFont="1" applyAlignment="1">
      <alignment vertical="top"/>
    </xf>
    <xf numFmtId="0" fontId="39" fillId="0" borderId="8" xfId="0" applyFont="1" applyBorder="1"/>
    <xf numFmtId="0" fontId="39" fillId="0" borderId="0" xfId="0" applyFont="1"/>
    <xf numFmtId="0" fontId="43" fillId="0" borderId="8" xfId="0" applyFont="1" applyBorder="1"/>
    <xf numFmtId="0" fontId="43" fillId="0" borderId="0" xfId="0" applyFont="1"/>
    <xf numFmtId="0" fontId="39" fillId="0" borderId="17"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27"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15" xfId="0" applyFont="1" applyBorder="1" applyAlignment="1">
      <alignment horizontal="center" vertical="center"/>
    </xf>
    <xf numFmtId="0" fontId="39" fillId="0" borderId="22" xfId="0" applyFont="1" applyBorder="1" applyAlignment="1">
      <alignment horizontal="center" vertical="center"/>
    </xf>
    <xf numFmtId="0" fontId="38" fillId="0" borderId="5" xfId="0" applyFont="1" applyBorder="1" applyAlignment="1">
      <alignment vertical="center"/>
    </xf>
    <xf numFmtId="0" fontId="38" fillId="0" borderId="6" xfId="0" applyFont="1" applyBorder="1" applyAlignment="1">
      <alignment vertical="center"/>
    </xf>
    <xf numFmtId="0" fontId="40" fillId="0" borderId="8" xfId="0" applyFont="1" applyBorder="1" applyAlignment="1">
      <alignment horizontal="left" vertical="center"/>
    </xf>
    <xf numFmtId="0" fontId="40" fillId="0" borderId="0" xfId="0" applyFont="1" applyAlignment="1">
      <alignment horizontal="left" vertical="center"/>
    </xf>
    <xf numFmtId="0" fontId="40" fillId="0" borderId="9" xfId="0" applyFont="1" applyBorder="1" applyAlignment="1">
      <alignment horizontal="left" vertical="center"/>
    </xf>
    <xf numFmtId="0" fontId="42" fillId="0" borderId="8" xfId="0" applyFont="1" applyBorder="1" applyAlignment="1">
      <alignment horizontal="left" vertical="center"/>
    </xf>
    <xf numFmtId="0" fontId="42" fillId="0" borderId="0" xfId="0" applyFont="1" applyAlignment="1">
      <alignment horizontal="left" vertical="center"/>
    </xf>
    <xf numFmtId="0" fontId="42" fillId="0" borderId="9" xfId="0" applyFont="1" applyBorder="1" applyAlignment="1">
      <alignment horizontal="left" vertical="center"/>
    </xf>
    <xf numFmtId="0" fontId="39" fillId="0" borderId="23" xfId="0" applyFont="1" applyBorder="1" applyAlignment="1">
      <alignment horizontal="center" vertical="center"/>
    </xf>
    <xf numFmtId="0" fontId="39" fillId="0" borderId="13" xfId="0" applyFont="1" applyBorder="1" applyAlignment="1">
      <alignment horizontal="center" vertical="center"/>
    </xf>
    <xf numFmtId="0" fontId="39" fillId="0" borderId="24" xfId="0" applyFont="1" applyBorder="1" applyAlignment="1">
      <alignment horizontal="center" vertical="center"/>
    </xf>
    <xf numFmtId="0" fontId="39" fillId="0" borderId="25" xfId="0" applyFont="1" applyBorder="1" applyAlignment="1">
      <alignment horizontal="left" vertical="center" wrapText="1"/>
    </xf>
    <xf numFmtId="0" fontId="39" fillId="0" borderId="20" xfId="0" applyFont="1" applyBorder="1" applyAlignment="1">
      <alignment horizontal="left" vertical="center" wrapText="1"/>
    </xf>
    <xf numFmtId="0" fontId="39" fillId="0" borderId="8" xfId="0" applyFont="1" applyBorder="1" applyAlignment="1">
      <alignment horizontal="left" vertical="center" wrapText="1"/>
    </xf>
    <xf numFmtId="0" fontId="39" fillId="0" borderId="21" xfId="0" applyFont="1" applyBorder="1" applyAlignment="1">
      <alignment horizontal="left" vertical="center" wrapText="1"/>
    </xf>
    <xf numFmtId="0" fontId="39" fillId="0" borderId="16" xfId="0" applyFont="1" applyBorder="1" applyAlignment="1">
      <alignment horizontal="center" vertical="center"/>
    </xf>
    <xf numFmtId="0" fontId="39" fillId="0" borderId="26" xfId="0" applyFont="1" applyBorder="1" applyAlignment="1">
      <alignment horizontal="center" vertical="center"/>
    </xf>
    <xf numFmtId="0" fontId="39" fillId="0" borderId="15"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22" xfId="0" applyFont="1" applyBorder="1" applyAlignment="1">
      <alignment horizontal="center" vertical="center" wrapText="1"/>
    </xf>
    <xf numFmtId="0" fontId="39" fillId="0" borderId="26" xfId="0" applyFont="1" applyBorder="1" applyAlignment="1">
      <alignment horizontal="center" vertical="center" wrapText="1"/>
    </xf>
    <xf numFmtId="166" fontId="36" fillId="6" borderId="4" xfId="1" applyNumberFormat="1" applyFont="1" applyFill="1" applyBorder="1" applyAlignment="1" applyProtection="1">
      <alignment horizontal="right"/>
      <protection hidden="1"/>
    </xf>
    <xf numFmtId="166" fontId="34" fillId="0" borderId="0" xfId="1" applyNumberFormat="1" applyFont="1" applyProtection="1">
      <protection hidden="1"/>
    </xf>
    <xf numFmtId="10" fontId="4" fillId="0" borderId="4" xfId="16" applyNumberFormat="1" applyFont="1" applyBorder="1" applyAlignment="1" applyProtection="1">
      <alignment horizontal="right"/>
      <protection hidden="1"/>
    </xf>
    <xf numFmtId="166" fontId="0" fillId="0" borderId="4" xfId="1" applyNumberFormat="1" applyFont="1" applyBorder="1" applyProtection="1">
      <protection hidden="1"/>
    </xf>
    <xf numFmtId="169" fontId="0" fillId="0" borderId="4" xfId="2" applyNumberFormat="1" applyFont="1" applyBorder="1" applyProtection="1">
      <protection hidden="1"/>
    </xf>
    <xf numFmtId="169" fontId="4" fillId="7" borderId="4" xfId="2" applyNumberFormat="1" applyFont="1" applyFill="1" applyBorder="1" applyAlignment="1" applyProtection="1">
      <alignment horizontal="center" vertical="center" wrapText="1"/>
      <protection hidden="1"/>
    </xf>
    <xf numFmtId="10" fontId="4" fillId="7" borderId="4" xfId="16" applyNumberFormat="1" applyFont="1" applyFill="1" applyBorder="1" applyAlignment="1" applyProtection="1">
      <alignment horizontal="center" vertical="center" wrapText="1"/>
      <protection hidden="1"/>
    </xf>
    <xf numFmtId="169" fontId="5" fillId="7" borderId="4" xfId="2" applyNumberFormat="1" applyFont="1" applyFill="1" applyBorder="1" applyAlignment="1" applyProtection="1">
      <alignment horizontal="center" vertical="center" wrapText="1"/>
      <protection hidden="1"/>
    </xf>
    <xf numFmtId="9" fontId="5" fillId="7" borderId="4" xfId="16" applyFont="1" applyFill="1" applyBorder="1" applyAlignment="1" applyProtection="1">
      <alignment horizontal="center" vertical="center" wrapText="1"/>
      <protection hidden="1"/>
    </xf>
    <xf numFmtId="10" fontId="0" fillId="7" borderId="4" xfId="0" applyNumberFormat="1" applyFill="1" applyBorder="1" applyProtection="1">
      <protection hidden="1"/>
    </xf>
    <xf numFmtId="3" fontId="5" fillId="7" borderId="4" xfId="0" applyNumberFormat="1" applyFont="1" applyFill="1" applyBorder="1" applyProtection="1">
      <protection hidden="1"/>
    </xf>
    <xf numFmtId="169" fontId="5" fillId="7" borderId="4" xfId="2" applyNumberFormat="1" applyFont="1" applyFill="1" applyBorder="1" applyProtection="1">
      <protection hidden="1"/>
    </xf>
    <xf numFmtId="3" fontId="2" fillId="7" borderId="4" xfId="32" applyFill="1" applyBorder="1" applyAlignment="1" applyProtection="1">
      <alignment horizontal="center"/>
      <protection hidden="1"/>
    </xf>
    <xf numFmtId="10" fontId="0" fillId="0" borderId="4" xfId="16" applyNumberFormat="1" applyFont="1" applyBorder="1" applyProtection="1">
      <protection hidden="1"/>
    </xf>
    <xf numFmtId="9" fontId="5" fillId="7" borderId="4" xfId="16" applyFont="1" applyFill="1" applyBorder="1" applyProtection="1">
      <protection hidden="1"/>
    </xf>
    <xf numFmtId="0" fontId="0" fillId="7" borderId="4" xfId="0" applyFill="1" applyBorder="1" applyAlignment="1" applyProtection="1">
      <alignment horizontal="left" vertical="center" wrapText="1"/>
      <protection hidden="1"/>
    </xf>
    <xf numFmtId="169" fontId="0" fillId="0" borderId="4" xfId="0" applyNumberFormat="1" applyBorder="1" applyProtection="1">
      <protection hidden="1"/>
    </xf>
    <xf numFmtId="10" fontId="0" fillId="7" borderId="4" xfId="0" applyNumberFormat="1" applyFill="1" applyBorder="1" applyAlignment="1" applyProtection="1">
      <alignment horizontal="center" vertical="center" wrapText="1"/>
      <protection hidden="1"/>
    </xf>
    <xf numFmtId="169" fontId="0" fillId="7" borderId="4" xfId="2" applyNumberFormat="1" applyFont="1" applyFill="1" applyBorder="1" applyAlignment="1" applyProtection="1">
      <alignment horizontal="center" vertical="center" wrapText="1"/>
      <protection hidden="1"/>
    </xf>
    <xf numFmtId="10" fontId="5" fillId="7" borderId="4" xfId="0" applyNumberFormat="1" applyFont="1" applyFill="1" applyBorder="1" applyAlignment="1" applyProtection="1">
      <alignment horizontal="center"/>
      <protection hidden="1"/>
    </xf>
    <xf numFmtId="169" fontId="5" fillId="7" borderId="4" xfId="2" applyNumberFormat="1" applyFont="1" applyFill="1" applyBorder="1" applyAlignment="1" applyProtection="1">
      <alignment horizontal="right"/>
      <protection hidden="1"/>
    </xf>
    <xf numFmtId="166" fontId="0" fillId="7" borderId="4" xfId="0" applyNumberFormat="1" applyFill="1" applyBorder="1" applyAlignment="1" applyProtection="1">
      <alignment horizontal="center" vertical="center" wrapText="1"/>
      <protection hidden="1"/>
    </xf>
    <xf numFmtId="166" fontId="5" fillId="7" borderId="4" xfId="0" applyNumberFormat="1" applyFont="1" applyFill="1" applyBorder="1" applyAlignment="1" applyProtection="1">
      <alignment horizontal="center" vertical="center" wrapText="1"/>
      <protection hidden="1"/>
    </xf>
    <xf numFmtId="166" fontId="21" fillId="4" borderId="31" xfId="18" applyNumberFormat="1" applyBorder="1" applyProtection="1">
      <protection hidden="1"/>
    </xf>
    <xf numFmtId="3" fontId="2" fillId="3" borderId="1" xfId="32" applyProtection="1">
      <protection hidden="1"/>
    </xf>
    <xf numFmtId="0" fontId="1" fillId="0" borderId="0" xfId="20" applyFont="1" applyAlignment="1" applyProtection="1">
      <alignment horizontal="right" vertical="center"/>
      <protection hidden="1"/>
    </xf>
    <xf numFmtId="2" fontId="22" fillId="4" borderId="1" xfId="19" applyNumberFormat="1" applyProtection="1">
      <protection hidden="1"/>
    </xf>
    <xf numFmtId="0" fontId="3" fillId="0" borderId="0" xfId="20" applyAlignment="1" applyProtection="1">
      <alignment horizontal="right" vertical="center"/>
      <protection hidden="1"/>
    </xf>
    <xf numFmtId="166" fontId="22" fillId="4" borderId="1" xfId="19" applyNumberFormat="1" applyProtection="1">
      <protection hidden="1"/>
    </xf>
    <xf numFmtId="166" fontId="21" fillId="4" borderId="2" xfId="18" applyNumberFormat="1" applyProtection="1">
      <protection hidden="1"/>
    </xf>
    <xf numFmtId="168" fontId="22" fillId="4" borderId="1" xfId="22" applyNumberFormat="1" applyFont="1" applyFill="1" applyBorder="1" applyProtection="1">
      <protection hidden="1"/>
    </xf>
    <xf numFmtId="166" fontId="21" fillId="4" borderId="2" xfId="22" applyNumberFormat="1" applyFont="1" applyFill="1" applyBorder="1" applyProtection="1">
      <protection hidden="1"/>
    </xf>
    <xf numFmtId="166" fontId="20" fillId="3" borderId="1" xfId="22" applyNumberFormat="1" applyFont="1" applyFill="1" applyBorder="1" applyProtection="1">
      <protection hidden="1"/>
    </xf>
    <xf numFmtId="3" fontId="2" fillId="3" borderId="29" xfId="32" applyBorder="1" applyProtection="1">
      <protection hidden="1"/>
    </xf>
    <xf numFmtId="3" fontId="2" fillId="3" borderId="33" xfId="32" applyBorder="1" applyProtection="1">
      <protection hidden="1"/>
    </xf>
    <xf numFmtId="0" fontId="53" fillId="10" borderId="4" xfId="30" applyFont="1" applyFill="1" applyBorder="1" applyAlignment="1" applyProtection="1">
      <alignment horizontal="centerContinuous" wrapText="1"/>
      <protection hidden="1"/>
    </xf>
    <xf numFmtId="0" fontId="3" fillId="0" borderId="0" xfId="20" applyAlignment="1" applyProtection="1">
      <alignment horizontal="right"/>
      <protection hidden="1"/>
    </xf>
    <xf numFmtId="0" fontId="2" fillId="3" borderId="1" xfId="17" applyProtection="1">
      <protection hidden="1"/>
    </xf>
    <xf numFmtId="170" fontId="2" fillId="3" borderId="1" xfId="17" applyNumberFormat="1" applyProtection="1">
      <protection hidden="1"/>
    </xf>
    <xf numFmtId="9" fontId="21" fillId="4" borderId="2" xfId="16" applyFont="1" applyFill="1" applyBorder="1" applyProtection="1">
      <protection hidden="1"/>
    </xf>
    <xf numFmtId="0" fontId="22" fillId="7" borderId="4" xfId="20" applyFont="1" applyFill="1" applyBorder="1" applyAlignment="1" applyProtection="1">
      <alignment horizontal="right"/>
      <protection hidden="1"/>
    </xf>
    <xf numFmtId="166" fontId="1" fillId="3" borderId="4" xfId="1" applyNumberFormat="1" applyFont="1" applyFill="1" applyBorder="1" applyProtection="1">
      <protection hidden="1"/>
    </xf>
    <xf numFmtId="2" fontId="2" fillId="3" borderId="1" xfId="17" applyNumberFormat="1" applyProtection="1">
      <protection hidden="1"/>
    </xf>
    <xf numFmtId="166" fontId="56" fillId="4" borderId="2" xfId="18" applyNumberFormat="1" applyFont="1" applyProtection="1">
      <protection hidden="1"/>
    </xf>
    <xf numFmtId="0" fontId="1" fillId="0" borderId="0" xfId="20" applyFont="1" applyAlignment="1" applyProtection="1">
      <alignment horizontal="right"/>
      <protection hidden="1"/>
    </xf>
    <xf numFmtId="166" fontId="0" fillId="0" borderId="4" xfId="1" applyNumberFormat="1" applyFont="1" applyFill="1" applyBorder="1" applyProtection="1">
      <protection hidden="1"/>
    </xf>
    <xf numFmtId="166" fontId="0" fillId="0" borderId="4" xfId="1" applyNumberFormat="1" applyFont="1" applyBorder="1" applyAlignment="1" applyProtection="1">
      <alignment horizontal="right"/>
      <protection hidden="1"/>
    </xf>
    <xf numFmtId="166" fontId="5" fillId="7" borderId="4" xfId="1" applyNumberFormat="1" applyFont="1" applyFill="1" applyBorder="1" applyAlignment="1" applyProtection="1">
      <alignment horizontal="center" vertical="center" wrapText="1"/>
      <protection hidden="1"/>
    </xf>
    <xf numFmtId="44" fontId="5" fillId="7" borderId="4" xfId="2" applyFont="1" applyFill="1" applyBorder="1" applyAlignment="1" applyProtection="1">
      <alignment horizontal="center" vertical="center" wrapText="1"/>
      <protection hidden="1"/>
    </xf>
    <xf numFmtId="43" fontId="0" fillId="0" borderId="4" xfId="0" applyNumberFormat="1" applyBorder="1" applyProtection="1">
      <protection hidden="1"/>
    </xf>
    <xf numFmtId="166" fontId="30" fillId="7" borderId="4" xfId="1" applyNumberFormat="1" applyFont="1" applyFill="1" applyBorder="1" applyProtection="1">
      <protection hidden="1"/>
    </xf>
    <xf numFmtId="169" fontId="5" fillId="7" borderId="4" xfId="0" applyNumberFormat="1" applyFont="1" applyFill="1" applyBorder="1" applyProtection="1">
      <protection hidden="1"/>
    </xf>
    <xf numFmtId="167" fontId="0" fillId="0" borderId="4" xfId="0" applyNumberFormat="1" applyBorder="1" applyProtection="1">
      <protection hidden="1"/>
    </xf>
    <xf numFmtId="169" fontId="2" fillId="3" borderId="1" xfId="17" applyNumberFormat="1" applyProtection="1">
      <protection hidden="1"/>
    </xf>
    <xf numFmtId="166" fontId="0" fillId="7" borderId="4" xfId="0" applyNumberFormat="1" applyFill="1" applyBorder="1" applyAlignment="1" applyProtection="1">
      <alignment horizontal="center"/>
      <protection hidden="1"/>
    </xf>
    <xf numFmtId="0" fontId="5" fillId="7" borderId="4" xfId="0" applyFont="1" applyFill="1" applyBorder="1" applyProtection="1">
      <protection hidden="1"/>
    </xf>
    <xf numFmtId="10" fontId="5" fillId="7" borderId="4" xfId="16" applyNumberFormat="1" applyFont="1" applyFill="1" applyBorder="1" applyProtection="1">
      <protection hidden="1"/>
    </xf>
    <xf numFmtId="166" fontId="0" fillId="14" borderId="4" xfId="0" applyNumberFormat="1" applyFill="1" applyBorder="1" applyAlignment="1" applyProtection="1">
      <alignment horizontal="center"/>
      <protection hidden="1"/>
    </xf>
    <xf numFmtId="0" fontId="0" fillId="7" borderId="4" xfId="0" applyFill="1" applyBorder="1" applyAlignment="1" applyProtection="1">
      <alignment horizontal="center"/>
      <protection hidden="1"/>
    </xf>
    <xf numFmtId="9" fontId="0" fillId="0" borderId="4" xfId="16" applyFont="1" applyBorder="1" applyProtection="1">
      <protection hidden="1"/>
    </xf>
    <xf numFmtId="171" fontId="0" fillId="7" borderId="4" xfId="0" applyNumberFormat="1" applyFill="1" applyBorder="1" applyProtection="1">
      <protection hidden="1"/>
    </xf>
    <xf numFmtId="166" fontId="5" fillId="0" borderId="4" xfId="1" applyNumberFormat="1" applyFont="1" applyBorder="1" applyProtection="1">
      <protection hidden="1"/>
    </xf>
    <xf numFmtId="166" fontId="3" fillId="19" borderId="4" xfId="20" applyNumberFormat="1" applyFill="1" applyBorder="1" applyProtection="1">
      <protection hidden="1"/>
    </xf>
    <xf numFmtId="0" fontId="3" fillId="0" borderId="0" xfId="20" applyProtection="1">
      <protection hidden="1"/>
    </xf>
    <xf numFmtId="166" fontId="3" fillId="0" borderId="4" xfId="20" applyNumberFormat="1" applyBorder="1" applyProtection="1">
      <protection hidden="1"/>
    </xf>
    <xf numFmtId="0" fontId="4" fillId="7" borderId="4" xfId="0" applyFont="1" applyFill="1" applyBorder="1" applyAlignment="1" applyProtection="1">
      <alignment horizontal="center" vertical="center" wrapText="1"/>
      <protection hidden="1"/>
    </xf>
    <xf numFmtId="166" fontId="3" fillId="19" borderId="4" xfId="20" applyNumberFormat="1" applyFill="1" applyBorder="1" applyAlignment="1" applyProtection="1">
      <alignment horizontal="center"/>
      <protection hidden="1"/>
    </xf>
    <xf numFmtId="166" fontId="3" fillId="0" borderId="4" xfId="20" applyNumberFormat="1" applyBorder="1" applyAlignment="1" applyProtection="1">
      <alignment horizontal="center"/>
      <protection hidden="1"/>
    </xf>
    <xf numFmtId="166" fontId="22" fillId="0" borderId="4" xfId="20" applyNumberFormat="1" applyFont="1" applyBorder="1" applyAlignment="1" applyProtection="1">
      <alignment horizontal="center"/>
      <protection hidden="1"/>
    </xf>
    <xf numFmtId="0" fontId="0" fillId="0" borderId="4" xfId="0" applyBorder="1" applyAlignment="1" applyProtection="1">
      <alignment horizontal="right"/>
      <protection hidden="1"/>
    </xf>
    <xf numFmtId="10" fontId="0" fillId="20" borderId="4" xfId="0" applyNumberFormat="1" applyFill="1" applyBorder="1" applyProtection="1">
      <protection hidden="1"/>
    </xf>
    <xf numFmtId="10" fontId="0" fillId="0" borderId="4" xfId="0" applyNumberFormat="1" applyBorder="1" applyProtection="1">
      <protection hidden="1"/>
    </xf>
    <xf numFmtId="9" fontId="1" fillId="19" borderId="4" xfId="16" applyFont="1" applyFill="1" applyBorder="1" applyProtection="1">
      <protection hidden="1"/>
    </xf>
    <xf numFmtId="166" fontId="4" fillId="0" borderId="4" xfId="0" applyNumberFormat="1" applyFont="1" applyBorder="1" applyProtection="1">
      <protection hidden="1"/>
    </xf>
    <xf numFmtId="10" fontId="1" fillId="0" borderId="4" xfId="16" applyNumberFormat="1" applyFont="1" applyBorder="1" applyProtection="1">
      <protection hidden="1"/>
    </xf>
    <xf numFmtId="3" fontId="22" fillId="7" borderId="4" xfId="20" applyNumberFormat="1" applyFont="1" applyFill="1" applyBorder="1" applyProtection="1">
      <protection hidden="1"/>
    </xf>
    <xf numFmtId="10" fontId="22" fillId="7" borderId="4" xfId="16" applyNumberFormat="1" applyFont="1" applyFill="1" applyBorder="1" applyProtection="1">
      <protection hidden="1"/>
    </xf>
    <xf numFmtId="3" fontId="3" fillId="7" borderId="4" xfId="20" applyNumberFormat="1" applyFill="1" applyBorder="1" applyProtection="1">
      <protection hidden="1"/>
    </xf>
  </cellXfs>
  <cellStyles count="34">
    <cellStyle name="Calculation" xfId="19" builtinId="22" customBuiltin="1"/>
    <cellStyle name="Comma" xfId="1" builtinId="3"/>
    <cellStyle name="Comma 2" xfId="22" xr:uid="{00000000-0005-0000-0000-000002000000}"/>
    <cellStyle name="Comma 2 2" xfId="24" xr:uid="{00000000-0005-0000-0000-000003000000}"/>
    <cellStyle name="Comma 3" xfId="26" xr:uid="{00000000-0005-0000-0000-000004000000}"/>
    <cellStyle name="Currency" xfId="2" builtinId="4"/>
    <cellStyle name="Currency 2" xfId="27" xr:uid="{00000000-0005-0000-0000-000006000000}"/>
    <cellStyle name="Heading 1" xfId="30" builtinId="16" customBuiltin="1"/>
    <cellStyle name="Hyperlink" xfId="28" builtinId="8"/>
    <cellStyle name="Hyperlink 2" xfId="23" xr:uid="{00000000-0005-0000-0000-000008000000}"/>
    <cellStyle name="Input" xfId="17" builtinId="20" customBuiltin="1"/>
    <cellStyle name="Input Value" xfId="32" xr:uid="{209EB5D1-3096-4332-B7FA-0619124DAC4F}"/>
    <cellStyle name="Normal" xfId="0" builtinId="0"/>
    <cellStyle name="Normal 2" xfId="20" xr:uid="{00000000-0005-0000-0000-00000B000000}"/>
    <cellStyle name="Normal 2 2" xfId="33" xr:uid="{03FBD4F2-D0C5-4743-AD0F-99B3209454F6}"/>
    <cellStyle name="Normal 5" xfId="29" xr:uid="{8D5FC2FD-5D2D-4287-A62A-F37CEC1BEE7A}"/>
    <cellStyle name="Note" xfId="31" builtinId="10" customBuiltin="1"/>
    <cellStyle name="Note 2" xfId="21" xr:uid="{00000000-0005-0000-0000-00000C000000}"/>
    <cellStyle name="OrigenAccount" xfId="3" xr:uid="{00000000-0005-0000-0000-00000D000000}"/>
    <cellStyle name="OrigenActivity" xfId="4" xr:uid="{00000000-0005-0000-0000-00000E000000}"/>
    <cellStyle name="OrigenColumnHdg" xfId="5" xr:uid="{00000000-0005-0000-0000-00000F000000}"/>
    <cellStyle name="OrigenCostCentre" xfId="6" xr:uid="{00000000-0005-0000-0000-000010000000}"/>
    <cellStyle name="OrigenEntity" xfId="7" xr:uid="{00000000-0005-0000-0000-000011000000}"/>
    <cellStyle name="OrigenGroup" xfId="8" xr:uid="{00000000-0005-0000-0000-000012000000}"/>
    <cellStyle name="OrigenJob" xfId="9" xr:uid="{00000000-0005-0000-0000-000013000000}"/>
    <cellStyle name="OrigenLevel" xfId="10" xr:uid="{00000000-0005-0000-0000-000014000000}"/>
    <cellStyle name="OrigenPeriod" xfId="11" xr:uid="{00000000-0005-0000-0000-000015000000}"/>
    <cellStyle name="OrigenPostingCode" xfId="12" xr:uid="{00000000-0005-0000-0000-000016000000}"/>
    <cellStyle name="OrigenSubJob" xfId="13" xr:uid="{00000000-0005-0000-0000-000017000000}"/>
    <cellStyle name="OrigenTitle" xfId="14" xr:uid="{00000000-0005-0000-0000-000018000000}"/>
    <cellStyle name="OrigenTotals" xfId="15" xr:uid="{00000000-0005-0000-0000-000019000000}"/>
    <cellStyle name="Output" xfId="18" builtinId="21"/>
    <cellStyle name="Percent" xfId="16" builtinId="5"/>
    <cellStyle name="Percent 2" xfId="25" xr:uid="{00000000-0005-0000-0000-00001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US" b="1"/>
              <a:t>Net expenditure to be funded by vehicle category South Wairarapa DC</a:t>
            </a:r>
          </a:p>
        </c:rich>
      </c:tx>
      <c:layout>
        <c:manualLayout>
          <c:xMode val="edge"/>
          <c:yMode val="edge"/>
          <c:x val="0.14170218101640983"/>
          <c:y val="2.185792349726776E-2"/>
        </c:manualLayout>
      </c:layout>
      <c:overlay val="0"/>
    </c:title>
    <c:autoTitleDeleted val="0"/>
    <c:plotArea>
      <c:layout/>
      <c:barChart>
        <c:barDir val="col"/>
        <c:grouping val="clustered"/>
        <c:varyColors val="0"/>
        <c:ser>
          <c:idx val="0"/>
          <c:order val="0"/>
          <c:tx>
            <c:strRef>
              <c:f>'Allocation urban and rural'!$B$65</c:f>
              <c:strCache>
                <c:ptCount val="1"/>
                <c:pt idx="0">
                  <c:v>2026/2027 AP</c:v>
                </c:pt>
              </c:strCache>
            </c:strRef>
          </c:tx>
          <c:invertIfNegative val="0"/>
          <c:cat>
            <c:strRef>
              <c:f>'Allocation urban and rural'!$A$66:$A$67</c:f>
              <c:strCache>
                <c:ptCount val="2"/>
                <c:pt idx="0">
                  <c:v>Light vehicles and general traffic</c:v>
                </c:pt>
                <c:pt idx="1">
                  <c:v>Heavy vehicles</c:v>
                </c:pt>
              </c:strCache>
            </c:strRef>
          </c:cat>
          <c:val>
            <c:numRef>
              <c:f>'Allocation urban and rural'!$B$66:$B$67</c:f>
              <c:numCache>
                <c:formatCode>0%</c:formatCode>
                <c:ptCount val="2"/>
                <c:pt idx="0">
                  <c:v>0.58029804037171795</c:v>
                </c:pt>
                <c:pt idx="1">
                  <c:v>0.41970195962828194</c:v>
                </c:pt>
              </c:numCache>
            </c:numRef>
          </c:val>
          <c:extLst>
            <c:ext xmlns:c16="http://schemas.microsoft.com/office/drawing/2014/chart" uri="{C3380CC4-5D6E-409C-BE32-E72D297353CC}">
              <c16:uniqueId val="{00000002-B18F-43D9-BFAA-A786B7F3BB81}"/>
            </c:ext>
          </c:extLst>
        </c:ser>
        <c:dLbls>
          <c:showLegendKey val="0"/>
          <c:showVal val="0"/>
          <c:showCatName val="0"/>
          <c:showSerName val="0"/>
          <c:showPercent val="0"/>
          <c:showBubbleSize val="0"/>
        </c:dLbls>
        <c:gapWidth val="150"/>
        <c:axId val="123563008"/>
        <c:axId val="139756288"/>
      </c:barChart>
      <c:catAx>
        <c:axId val="123563008"/>
        <c:scaling>
          <c:orientation val="minMax"/>
        </c:scaling>
        <c:delete val="0"/>
        <c:axPos val="b"/>
        <c:numFmt formatCode="General" sourceLinked="1"/>
        <c:majorTickMark val="out"/>
        <c:minorTickMark val="none"/>
        <c:tickLblPos val="nextTo"/>
        <c:crossAx val="139756288"/>
        <c:crosses val="autoZero"/>
        <c:auto val="1"/>
        <c:lblAlgn val="ctr"/>
        <c:lblOffset val="100"/>
        <c:noMultiLvlLbl val="0"/>
      </c:catAx>
      <c:valAx>
        <c:axId val="139756288"/>
        <c:scaling>
          <c:orientation val="minMax"/>
          <c:min val="0"/>
        </c:scaling>
        <c:delete val="0"/>
        <c:axPos val="l"/>
        <c:majorGridlines/>
        <c:numFmt formatCode="0%" sourceLinked="1"/>
        <c:majorTickMark val="out"/>
        <c:minorTickMark val="none"/>
        <c:tickLblPos val="nextTo"/>
        <c:crossAx val="123563008"/>
        <c:crosses val="autoZero"/>
        <c:crossBetween val="between"/>
      </c:valAx>
      <c:spPr>
        <a:noFill/>
      </c:spPr>
    </c:plotArea>
    <c:plotVisOnly val="1"/>
    <c:dispBlanksAs val="gap"/>
    <c:showDLblsOverMax val="0"/>
  </c:chart>
  <c:spPr>
    <a:solidFill>
      <a:schemeClr val="bg2"/>
    </a:solidFill>
    <a:ln>
      <a:noFill/>
    </a:ln>
  </c:spPr>
  <c:txPr>
    <a:bodyPr/>
    <a:lstStyle/>
    <a:p>
      <a:pPr>
        <a:defRPr sz="1000">
          <a:latin typeface="Aptos" panose="020B00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NZ" sz="1000" b="1" i="0" u="none" strike="noStrike" kern="1200" baseline="0">
                <a:solidFill>
                  <a:schemeClr val="tx1"/>
                </a:solidFill>
                <a:latin typeface="Aptos" panose="020B0004020202020204" pitchFamily="34" charset="0"/>
                <a:ea typeface="+mn-ea"/>
                <a:cs typeface="+mn-cs"/>
              </a:defRPr>
            </a:pPr>
            <a:r>
              <a:rPr lang="en-NZ" sz="1000" b="1" i="0" u="none" strike="noStrike" kern="1200" baseline="0">
                <a:solidFill>
                  <a:schemeClr val="tx1"/>
                </a:solidFill>
                <a:latin typeface="Aptos" panose="020B0004020202020204" pitchFamily="34" charset="0"/>
                <a:ea typeface="+mn-ea"/>
                <a:cs typeface="+mn-cs"/>
              </a:rPr>
              <a:t>Breakdown of SWDC rateable tonnage by industry 2025</a:t>
            </a:r>
          </a:p>
        </c:rich>
      </c:tx>
      <c:overlay val="0"/>
      <c:spPr>
        <a:noFill/>
        <a:ln>
          <a:noFill/>
        </a:ln>
        <a:effectLst/>
      </c:spPr>
      <c:txPr>
        <a:bodyPr rot="0" spcFirstLastPara="1" vertOverflow="ellipsis" vert="horz" wrap="square" anchor="ctr" anchorCtr="1"/>
        <a:lstStyle/>
        <a:p>
          <a:pPr algn="ctr" rtl="0">
            <a:defRPr lang="en-NZ" sz="1000" b="1" i="0" u="none" strike="noStrike" kern="1200" baseline="0">
              <a:solidFill>
                <a:schemeClr val="tx1"/>
              </a:solidFill>
              <a:latin typeface="Aptos" panose="020B0004020202020204" pitchFamily="34" charset="0"/>
              <a:ea typeface="+mn-ea"/>
              <a:cs typeface="+mn-cs"/>
            </a:defRPr>
          </a:pPr>
          <a:endParaRPr lang="en-US"/>
        </a:p>
      </c:txPr>
    </c:title>
    <c:autoTitleDeleted val="0"/>
    <c:plotArea>
      <c:layout>
        <c:manualLayout>
          <c:layoutTarget val="inner"/>
          <c:xMode val="edge"/>
          <c:yMode val="edge"/>
          <c:x val="0.22296391738911425"/>
          <c:y val="0.26916921843102948"/>
          <c:w val="0.43059784193642464"/>
          <c:h val="0.73083078156897052"/>
        </c:manualLayout>
      </c:layout>
      <c:pieChart>
        <c:varyColors val="1"/>
        <c:ser>
          <c:idx val="1"/>
          <c:order val="0"/>
          <c:tx>
            <c:strRef>
              <c:f>'Allocate heavy v to sectors'!$A$20:$A$23</c:f>
              <c:strCache>
                <c:ptCount val="4"/>
                <c:pt idx="0">
                  <c:v>Horticulture</c:v>
                </c:pt>
                <c:pt idx="1">
                  <c:v>Farming general</c:v>
                </c:pt>
                <c:pt idx="2">
                  <c:v>Forestry</c:v>
                </c:pt>
                <c:pt idx="3">
                  <c:v>Dairy</c:v>
                </c:pt>
              </c:strCache>
            </c:strRef>
          </c:tx>
          <c:dPt>
            <c:idx val="0"/>
            <c:bubble3D val="0"/>
            <c:spPr>
              <a:solidFill>
                <a:schemeClr val="accent1"/>
              </a:solidFill>
              <a:ln>
                <a:noFill/>
              </a:ln>
              <a:effectLst/>
            </c:spPr>
            <c:extLst>
              <c:ext xmlns:c16="http://schemas.microsoft.com/office/drawing/2014/chart" uri="{C3380CC4-5D6E-409C-BE32-E72D297353CC}">
                <c16:uniqueId val="{00000001-D4F6-40AA-865A-57D8246F7D2C}"/>
              </c:ext>
            </c:extLst>
          </c:dPt>
          <c:dPt>
            <c:idx val="1"/>
            <c:bubble3D val="0"/>
            <c:spPr>
              <a:solidFill>
                <a:schemeClr val="accent3"/>
              </a:solidFill>
              <a:ln>
                <a:noFill/>
              </a:ln>
              <a:effectLst/>
            </c:spPr>
            <c:extLst>
              <c:ext xmlns:c16="http://schemas.microsoft.com/office/drawing/2014/chart" uri="{C3380CC4-5D6E-409C-BE32-E72D297353CC}">
                <c16:uniqueId val="{00000003-D4F6-40AA-865A-57D8246F7D2C}"/>
              </c:ext>
            </c:extLst>
          </c:dPt>
          <c:dPt>
            <c:idx val="2"/>
            <c:bubble3D val="0"/>
            <c:spPr>
              <a:solidFill>
                <a:schemeClr val="accent5"/>
              </a:solidFill>
              <a:ln>
                <a:noFill/>
              </a:ln>
              <a:effectLst/>
            </c:spPr>
            <c:extLst>
              <c:ext xmlns:c16="http://schemas.microsoft.com/office/drawing/2014/chart" uri="{C3380CC4-5D6E-409C-BE32-E72D297353CC}">
                <c16:uniqueId val="{00000005-D4F6-40AA-865A-57D8246F7D2C}"/>
              </c:ext>
            </c:extLst>
          </c:dPt>
          <c:dPt>
            <c:idx val="3"/>
            <c:bubble3D val="0"/>
            <c:spPr>
              <a:solidFill>
                <a:schemeClr val="accent1">
                  <a:lumMod val="60000"/>
                </a:schemeClr>
              </a:solidFill>
              <a:ln>
                <a:noFill/>
              </a:ln>
              <a:effectLst/>
            </c:spPr>
            <c:extLst>
              <c:ext xmlns:c16="http://schemas.microsoft.com/office/drawing/2014/chart" uri="{C3380CC4-5D6E-409C-BE32-E72D297353CC}">
                <c16:uniqueId val="{00000007-D4F6-40AA-865A-57D8246F7D2C}"/>
              </c:ext>
            </c:extLst>
          </c:dPt>
          <c:dLbls>
            <c:dLbl>
              <c:idx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ptos" panose="020B0004020202020204" pitchFamily="34" charset="0"/>
                      <a:ea typeface="+mn-ea"/>
                      <a:cs typeface="+mn-cs"/>
                    </a:defRPr>
                  </a:pPr>
                  <a:endParaRPr lang="en-US"/>
                </a:p>
              </c:txPr>
              <c:showLegendKey val="0"/>
              <c:showVal val="0"/>
              <c:showCatName val="0"/>
              <c:showSerName val="0"/>
              <c:showPercent val="1"/>
              <c:showBubbleSize val="0"/>
              <c:extLst>
                <c:ext xmlns:c16="http://schemas.microsoft.com/office/drawing/2014/chart" uri="{C3380CC4-5D6E-409C-BE32-E72D297353CC}">
                  <c16:uniqueId val="{00000001-D4F6-40AA-865A-57D8246F7D2C}"/>
                </c:ext>
              </c:extLst>
            </c:dLbl>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Aptos" panose="020B0004020202020204" pitchFamily="34" charset="0"/>
                    <a:ea typeface="+mn-ea"/>
                    <a:cs typeface="+mn-cs"/>
                  </a:defRPr>
                </a:pPr>
                <a:endParaRPr lang="en-US"/>
              </a:p>
            </c:txPr>
            <c:showLegendKey val="0"/>
            <c:showVal val="0"/>
            <c:showCatName val="0"/>
            <c:showSerName val="0"/>
            <c:showPercent val="1"/>
            <c:showBubbleSize val="0"/>
            <c:showLeaderLines val="1"/>
            <c:leaderLines>
              <c:spPr>
                <a:ln w="12700"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Ref>
              <c:f>'Allocate heavy v to sectors'!$A$20:$A$23</c:f>
              <c:strCache>
                <c:ptCount val="4"/>
                <c:pt idx="0">
                  <c:v>Horticulture</c:v>
                </c:pt>
                <c:pt idx="1">
                  <c:v>Farming general</c:v>
                </c:pt>
                <c:pt idx="2">
                  <c:v>Forestry</c:v>
                </c:pt>
                <c:pt idx="3">
                  <c:v>Dairy</c:v>
                </c:pt>
              </c:strCache>
            </c:strRef>
          </c:cat>
          <c:val>
            <c:numRef>
              <c:f>'Allocate heavy v to sectors'!$B$20:$B$23</c:f>
              <c:numCache>
                <c:formatCode>_-* #,##0_-;\-* #,##0_-;_-* "-"??_-;_-@_-</c:formatCode>
                <c:ptCount val="4"/>
                <c:pt idx="0">
                  <c:v>11028.309479152389</c:v>
                </c:pt>
                <c:pt idx="1">
                  <c:v>38223.220710992078</c:v>
                </c:pt>
                <c:pt idx="2">
                  <c:v>150411.54588011157</c:v>
                </c:pt>
                <c:pt idx="3">
                  <c:v>357078.04036517401</c:v>
                </c:pt>
              </c:numCache>
            </c:numRef>
          </c:val>
          <c:extLst>
            <c:ext xmlns:c16="http://schemas.microsoft.com/office/drawing/2014/chart" uri="{C3380CC4-5D6E-409C-BE32-E72D297353CC}">
              <c16:uniqueId val="{00000003-0D62-46AA-A3F1-D48171A722F2}"/>
            </c:ext>
          </c:extLst>
        </c:ser>
        <c:dLbls>
          <c:showLegendKey val="0"/>
          <c:showVal val="0"/>
          <c:showCatName val="0"/>
          <c:showSerName val="0"/>
          <c:showPercent val="1"/>
          <c:showBubbleSize val="0"/>
          <c:showLeaderLines val="1"/>
        </c:dLbls>
        <c:firstSliceAng val="0"/>
      </c:pieChart>
      <c:spPr>
        <a:noFill/>
        <a:ln w="25400">
          <a:noFill/>
        </a:ln>
        <a:effectLst/>
      </c:spPr>
    </c:plotArea>
    <c:legend>
      <c:legendPos val="r"/>
      <c:overlay val="0"/>
      <c:spPr>
        <a:noFill/>
        <a:ln>
          <a:noFill/>
        </a:ln>
        <a:effectLst/>
      </c:spPr>
      <c:txPr>
        <a:bodyPr rot="0" spcFirstLastPara="1" vertOverflow="ellipsis" vert="horz" wrap="square" anchor="ctr" anchorCtr="1"/>
        <a:lstStyle/>
        <a:p>
          <a:pPr rtl="0">
            <a:defRPr sz="1000" b="0" i="0" u="none" strike="noStrike" kern="1200" baseline="0">
              <a:solidFill>
                <a:schemeClr val="tx1"/>
              </a:solidFill>
              <a:latin typeface="Aptos" panose="020B0004020202020204" pitchFamily="34" charset="0"/>
              <a:ea typeface="+mn-ea"/>
              <a:cs typeface="+mn-cs"/>
            </a:defRPr>
          </a:pPr>
          <a:endParaRPr lang="en-US"/>
        </a:p>
      </c:txPr>
    </c:legend>
    <c:plotVisOnly val="1"/>
    <c:dispBlanksAs val="zero"/>
    <c:showDLblsOverMax val="0"/>
  </c:chart>
  <c:spPr>
    <a:solidFill>
      <a:schemeClr val="bg2"/>
    </a:solidFill>
    <a:ln w="12700" cap="flat" cmpd="sng" algn="ctr">
      <a:noFill/>
      <a:prstDash val="solid"/>
      <a:round/>
    </a:ln>
    <a:effectLst/>
  </c:spPr>
  <c:txPr>
    <a:bodyPr/>
    <a:lstStyle/>
    <a:p>
      <a:pPr>
        <a:defRPr>
          <a:latin typeface="Aptos" panose="020B0004020202020204" pitchFamily="34"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NZ" b="1"/>
              <a:t>Summary of SWDC heavy vehicle traffic cost allocations - urban v rural</a:t>
            </a:r>
          </a:p>
        </c:rich>
      </c:tx>
      <c:overlay val="0"/>
    </c:title>
    <c:autoTitleDeleted val="0"/>
    <c:plotArea>
      <c:layout>
        <c:manualLayout>
          <c:layoutTarget val="inner"/>
          <c:xMode val="edge"/>
          <c:yMode val="edge"/>
          <c:x val="0.27148836998823422"/>
          <c:y val="0.24602107028288131"/>
          <c:w val="0.44499841614625762"/>
          <c:h val="0.71694189268008179"/>
        </c:manualLayout>
      </c:layout>
      <c:pieChart>
        <c:varyColors val="1"/>
        <c:ser>
          <c:idx val="0"/>
          <c:order val="0"/>
          <c:tx>
            <c:strRef>
              <c:f>'Aggregation of Costs'!$B$19:$C$19</c:f>
              <c:strCache>
                <c:ptCount val="2"/>
                <c:pt idx="0">
                  <c:v>Rural</c:v>
                </c:pt>
                <c:pt idx="1">
                  <c:v>Urban</c:v>
                </c:pt>
              </c:strCache>
            </c:strRef>
          </c:tx>
          <c:explosion val="2"/>
          <c:dLbls>
            <c:spPr>
              <a:noFill/>
              <a:ln w="25400">
                <a:noFill/>
              </a:ln>
            </c:spPr>
            <c:txPr>
              <a:bodyPr/>
              <a:lstStyle/>
              <a:p>
                <a:pPr>
                  <a:defRPr>
                    <a:solidFill>
                      <a:schemeClr val="bg1"/>
                    </a:solidFil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'Aggregation of Costs'!$B$19:$C$19</c:f>
              <c:strCache>
                <c:ptCount val="2"/>
                <c:pt idx="0">
                  <c:v>Rural</c:v>
                </c:pt>
                <c:pt idx="1">
                  <c:v>Urban</c:v>
                </c:pt>
              </c:strCache>
            </c:strRef>
          </c:cat>
          <c:val>
            <c:numRef>
              <c:f>'Aggregation of Costs'!$B$20:$C$20</c:f>
              <c:numCache>
                <c:formatCode>_-"$"* #,##0_-;\-"$"* #,##0_-;_-"$"* "-"??_-;_-@_-</c:formatCode>
                <c:ptCount val="2"/>
                <c:pt idx="0">
                  <c:v>1894810</c:v>
                </c:pt>
                <c:pt idx="1">
                  <c:v>301938</c:v>
                </c:pt>
              </c:numCache>
            </c:numRef>
          </c:val>
          <c:extLst>
            <c:ext xmlns:c16="http://schemas.microsoft.com/office/drawing/2014/chart" uri="{C3380CC4-5D6E-409C-BE32-E72D297353CC}">
              <c16:uniqueId val="{00000000-F3C7-498C-9A40-6643772877B8}"/>
            </c:ext>
          </c:extLst>
        </c:ser>
        <c:dLbls>
          <c:showLegendKey val="0"/>
          <c:showVal val="0"/>
          <c:showCatName val="0"/>
          <c:showSerName val="0"/>
          <c:showPercent val="1"/>
          <c:showBubbleSize val="0"/>
          <c:showLeaderLines val="1"/>
        </c:dLbls>
        <c:firstSliceAng val="0"/>
      </c:pieChart>
      <c:spPr>
        <a:noFill/>
        <a:ln w="25400">
          <a:noFill/>
        </a:ln>
      </c:spPr>
    </c:plotArea>
    <c:legend>
      <c:legendPos val="r"/>
      <c:overlay val="0"/>
    </c:legend>
    <c:plotVisOnly val="1"/>
    <c:dispBlanksAs val="zero"/>
    <c:showDLblsOverMax val="0"/>
  </c:chart>
  <c:spPr>
    <a:solidFill>
      <a:schemeClr val="bg2"/>
    </a:solidFill>
    <a:ln>
      <a:noFill/>
    </a:ln>
  </c:spPr>
  <c:txPr>
    <a:bodyPr/>
    <a:lstStyle/>
    <a:p>
      <a:pPr>
        <a:defRPr lang="en-US" sz="1000" b="0" i="0" u="none" strike="noStrike" kern="1200" baseline="0">
          <a:solidFill>
            <a:schemeClr val="tx1"/>
          </a:solidFill>
          <a:latin typeface="Aptos" panose="020B0004020202020204" pitchFamily="34" charset="0"/>
          <a:ea typeface="+mn-ea"/>
          <a:cs typeface="+mn-cs"/>
        </a:defRPr>
      </a:pPr>
      <a:endParaRPr lang="en-US"/>
    </a:p>
  </c:txPr>
  <c:printSettings>
    <c:headerFooter/>
    <c:pageMargins b="0.75000000000000022" l="0.70000000000000018" r="0.70000000000000018" t="0.75000000000000022" header="0.3000000000000001" footer="0.3000000000000001"/>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342901</xdr:colOff>
      <xdr:row>4</xdr:row>
      <xdr:rowOff>25401</xdr:rowOff>
    </xdr:from>
    <xdr:to>
      <xdr:col>6</xdr:col>
      <xdr:colOff>402634</xdr:colOff>
      <xdr:row>6</xdr:row>
      <xdr:rowOff>214771</xdr:rowOff>
    </xdr:to>
    <xdr:pic>
      <xdr:nvPicPr>
        <xdr:cNvPr id="5" name="Picture 1" descr="A close up of a sign&#10;&#10;AI-generated content may be incorrect.">
          <a:extLst>
            <a:ext uri="{FF2B5EF4-FFF2-40B4-BE49-F238E27FC236}">
              <a16:creationId xmlns:a16="http://schemas.microsoft.com/office/drawing/2014/main" id="{11187B60-C63C-4960-B654-936582AEF0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5276" y="349251"/>
          <a:ext cx="2094908" cy="5195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604836</xdr:colOff>
      <xdr:row>47</xdr:row>
      <xdr:rowOff>83343</xdr:rowOff>
    </xdr:from>
    <xdr:to>
      <xdr:col>14</xdr:col>
      <xdr:colOff>390525</xdr:colOff>
      <xdr:row>68</xdr:row>
      <xdr:rowOff>69056</xdr:rowOff>
    </xdr:to>
    <xdr:graphicFrame macro="">
      <xdr:nvGraphicFramePr>
        <xdr:cNvPr id="11" name="Chart 1">
          <a:extLst>
            <a:ext uri="{FF2B5EF4-FFF2-40B4-BE49-F238E27FC236}">
              <a16:creationId xmlns:a16="http://schemas.microsoft.com/office/drawing/2014/main" id="{FCE6C045-D2CF-429B-9D64-1EC2CAAA5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571500</xdr:colOff>
      <xdr:row>5</xdr:row>
      <xdr:rowOff>257175</xdr:rowOff>
    </xdr:from>
    <xdr:to>
      <xdr:col>17</xdr:col>
      <xdr:colOff>381000</xdr:colOff>
      <xdr:row>21</xdr:row>
      <xdr:rowOff>133350</xdr:rowOff>
    </xdr:to>
    <xdr:graphicFrame macro="">
      <xdr:nvGraphicFramePr>
        <xdr:cNvPr id="27" name="Chart 1">
          <a:extLst>
            <a:ext uri="{FF2B5EF4-FFF2-40B4-BE49-F238E27FC236}">
              <a16:creationId xmlns:a16="http://schemas.microsoft.com/office/drawing/2014/main" id="{9E3E15A7-3204-491F-AC76-76C2DA0F0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18</xdr:row>
      <xdr:rowOff>0</xdr:rowOff>
    </xdr:from>
    <xdr:to>
      <xdr:col>8</xdr:col>
      <xdr:colOff>533400</xdr:colOff>
      <xdr:row>37</xdr:row>
      <xdr:rowOff>85725</xdr:rowOff>
    </xdr:to>
    <xdr:graphicFrame macro="">
      <xdr:nvGraphicFramePr>
        <xdr:cNvPr id="21" name="Chart 1">
          <a:extLst>
            <a:ext uri="{FF2B5EF4-FFF2-40B4-BE49-F238E27FC236}">
              <a16:creationId xmlns:a16="http://schemas.microsoft.com/office/drawing/2014/main" id="{1A11C133-526C-465A-AA7B-6BFB07657E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7</xdr:col>
      <xdr:colOff>896504</xdr:colOff>
      <xdr:row>57</xdr:row>
      <xdr:rowOff>96303</xdr:rowOff>
    </xdr:to>
    <xdr:pic>
      <xdr:nvPicPr>
        <xdr:cNvPr id="2" name="Picture 1">
          <a:extLst>
            <a:ext uri="{FF2B5EF4-FFF2-40B4-BE49-F238E27FC236}">
              <a16:creationId xmlns:a16="http://schemas.microsoft.com/office/drawing/2014/main" id="{08912169-A2A7-CD2A-7E4E-E502A80FE311}"/>
            </a:ext>
          </a:extLst>
        </xdr:cNvPr>
        <xdr:cNvPicPr>
          <a:picLocks noChangeAspect="1"/>
        </xdr:cNvPicPr>
      </xdr:nvPicPr>
      <xdr:blipFill>
        <a:blip xmlns:r="http://schemas.openxmlformats.org/officeDocument/2006/relationships" r:embed="rId1"/>
        <a:stretch>
          <a:fillRect/>
        </a:stretch>
      </xdr:blipFill>
      <xdr:spPr>
        <a:xfrm>
          <a:off x="0" y="1781175"/>
          <a:ext cx="8268854" cy="7544853"/>
        </a:xfrm>
        <a:prstGeom prst="rect">
          <a:avLst/>
        </a:prstGeom>
      </xdr:spPr>
    </xdr:pic>
    <xdr:clientData/>
  </xdr:twoCellAnchor>
  <xdr:twoCellAnchor editAs="oneCell">
    <xdr:from>
      <xdr:col>0</xdr:col>
      <xdr:colOff>133350</xdr:colOff>
      <xdr:row>58</xdr:row>
      <xdr:rowOff>0</xdr:rowOff>
    </xdr:from>
    <xdr:to>
      <xdr:col>7</xdr:col>
      <xdr:colOff>877433</xdr:colOff>
      <xdr:row>81</xdr:row>
      <xdr:rowOff>86257</xdr:rowOff>
    </xdr:to>
    <xdr:pic>
      <xdr:nvPicPr>
        <xdr:cNvPr id="3" name="Picture 2">
          <a:extLst>
            <a:ext uri="{FF2B5EF4-FFF2-40B4-BE49-F238E27FC236}">
              <a16:creationId xmlns:a16="http://schemas.microsoft.com/office/drawing/2014/main" id="{C1485491-C72F-9F86-7982-7263831071E9}"/>
            </a:ext>
          </a:extLst>
        </xdr:cNvPr>
        <xdr:cNvPicPr>
          <a:picLocks noChangeAspect="1"/>
        </xdr:cNvPicPr>
      </xdr:nvPicPr>
      <xdr:blipFill>
        <a:blip xmlns:r="http://schemas.openxmlformats.org/officeDocument/2006/relationships" r:embed="rId2"/>
        <a:stretch>
          <a:fillRect/>
        </a:stretch>
      </xdr:blipFill>
      <xdr:spPr>
        <a:xfrm>
          <a:off x="133350" y="9391650"/>
          <a:ext cx="8116433" cy="38105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8</xdr:col>
      <xdr:colOff>1277722</xdr:colOff>
      <xdr:row>37</xdr:row>
      <xdr:rowOff>10182</xdr:rowOff>
    </xdr:to>
    <xdr:pic>
      <xdr:nvPicPr>
        <xdr:cNvPr id="4" name="Picture 3">
          <a:extLst>
            <a:ext uri="{FF2B5EF4-FFF2-40B4-BE49-F238E27FC236}">
              <a16:creationId xmlns:a16="http://schemas.microsoft.com/office/drawing/2014/main" id="{50EFD5C5-3CCF-B46F-D3DA-ACD1E8FC71D6}"/>
            </a:ext>
          </a:extLst>
        </xdr:cNvPr>
        <xdr:cNvPicPr>
          <a:picLocks noChangeAspect="1"/>
        </xdr:cNvPicPr>
      </xdr:nvPicPr>
      <xdr:blipFill>
        <a:blip xmlns:r="http://schemas.openxmlformats.org/officeDocument/2006/relationships" r:embed="rId1"/>
        <a:stretch>
          <a:fillRect/>
        </a:stretch>
      </xdr:blipFill>
      <xdr:spPr>
        <a:xfrm>
          <a:off x="0" y="1295400"/>
          <a:ext cx="9831172" cy="470600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tt Johnson | Morrison Low Advisory" id="{0FB3487B-4A59-4F14-B67C-F0997412D707}" userId="S::m.johnson@morrisonlowadvisory.com::92b783ab-3adc-43a9-86ea-463a4f443ac9" providerId="AD"/>
</personList>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L theme">
  <a:themeElements>
    <a:clrScheme name="Custom 1">
      <a:dk1>
        <a:srgbClr val="292A29"/>
      </a:dk1>
      <a:lt1>
        <a:srgbClr val="FFFFFF"/>
      </a:lt1>
      <a:dk2>
        <a:srgbClr val="A80034"/>
      </a:dk2>
      <a:lt2>
        <a:srgbClr val="F8F2EC"/>
      </a:lt2>
      <a:accent1>
        <a:srgbClr val="FD4338"/>
      </a:accent1>
      <a:accent2>
        <a:srgbClr val="A80034"/>
      </a:accent2>
      <a:accent3>
        <a:srgbClr val="C6D92D"/>
      </a:accent3>
      <a:accent4>
        <a:srgbClr val="00AD4D"/>
      </a:accent4>
      <a:accent5>
        <a:srgbClr val="FFD140"/>
      </a:accent5>
      <a:accent6>
        <a:srgbClr val="80D0DE"/>
      </a:accent6>
      <a:hlink>
        <a:srgbClr val="006FB0"/>
      </a:hlink>
      <a:folHlink>
        <a:srgbClr val="8FD5FF"/>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djacency">
      <a:fillStyleLst>
        <a:solidFill>
          <a:schemeClr val="phClr"/>
        </a:solidFill>
        <a:solidFill>
          <a:schemeClr val="phClr">
            <a:tint val="55000"/>
          </a:schemeClr>
        </a:solidFill>
        <a:solidFill>
          <a:schemeClr val="phClr"/>
        </a:solidFill>
      </a:fillStyleLst>
      <a:lnStyleLst>
        <a:ln w="12700"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outerShdw blurRad="50800" dist="25400" algn="bl" rotWithShape="0">
              <a:srgbClr val="000000">
                <a:alpha val="60000"/>
              </a:srgbClr>
            </a:outerShdw>
          </a:effectLst>
        </a:effectStyle>
        <a:effectStyle>
          <a:effectLst/>
          <a:scene3d>
            <a:camera prst="orthographicFront">
              <a:rot lat="0" lon="0" rev="0"/>
            </a:camera>
            <a:lightRig rig="brightRoom" dir="tl">
              <a:rot lat="0" lon="0" rev="1800000"/>
            </a:lightRig>
          </a:scene3d>
          <a:sp3d contourW="10160" prstMaterial="dkEdge">
            <a:bevelT w="38100" h="50800" prst="angle"/>
            <a:contourClr>
              <a:schemeClr val="phClr">
                <a:shade val="40000"/>
                <a:satMod val="150000"/>
              </a:schemeClr>
            </a:contourClr>
          </a:sp3d>
        </a:effectStyle>
      </a:effectStyleLst>
      <a:bgFillStyleLst>
        <a:solidFill>
          <a:schemeClr val="phClr"/>
        </a:solidFill>
        <a:gradFill rotWithShape="1">
          <a:gsLst>
            <a:gs pos="0">
              <a:schemeClr val="phClr">
                <a:tint val="90000"/>
              </a:schemeClr>
            </a:gs>
            <a:gs pos="75000">
              <a:schemeClr val="phClr">
                <a:shade val="100000"/>
                <a:satMod val="115000"/>
              </a:schemeClr>
            </a:gs>
            <a:gs pos="100000">
              <a:schemeClr val="phClr">
                <a:shade val="70000"/>
                <a:satMod val="130000"/>
              </a:schemeClr>
            </a:gs>
          </a:gsLst>
          <a:path path="circle">
            <a:fillToRect l="20000" t="50000" r="100000" b="50000"/>
          </a:path>
        </a:gradFill>
        <a:blipFill rotWithShape="1">
          <a:blip xmlns:r="http://schemas.openxmlformats.org/officeDocument/2006/relationships" r:embed="rId1">
            <a:duotone>
              <a:schemeClr val="phClr">
                <a:tint val="97000"/>
              </a:schemeClr>
              <a:schemeClr val="phClr">
                <a:shade val="96000"/>
              </a:schemeClr>
            </a:duotone>
          </a:blip>
          <a:tile tx="0" ty="0" sx="32000" sy="32000" flip="none" algn="tl"/>
        </a:blip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2" dT="2026-07-28T00:17:53.74" personId="{0FB3487B-4A59-4F14-B67C-F0997412D707}" id="{860361DE-B5B3-4A6A-9796-9331D5302716}">
    <text xml:space="preserve">This is driven off the Te Manatū Waka (2022) Background to the road user charges (RUC) system </text>
  </threadedComment>
  <threadedComment ref="G13" dT="2026-07-28T00:17:59.50" personId="{0FB3487B-4A59-4F14-B67C-F0997412D707}" id="{BF16733C-10D5-4394-B1A6-811B57B9B54B}">
    <text xml:space="preserve">This is driven off the Te Manatū Waka (2022) Background to the road user charges (RUC) system </text>
  </threadedComment>
  <threadedComment ref="G14" dT="2026-07-28T00:23:04.92" personId="{0FB3487B-4A59-4F14-B67C-F0997412D707}" id="{49F322FB-BBAF-4EDF-A8A4-043ACD246E83}">
    <text>Based on VKT</text>
  </threadedComment>
  <threadedComment ref="G15" dT="2026-07-28T00:18:07.07" personId="{0FB3487B-4A59-4F14-B67C-F0997412D707}" id="{19744BD2-478E-4A25-BDC5-CA8F681A3FF9}">
    <text xml:space="preserve">This is driven off the Te Manatū Waka (2022) Background to the road user charges (RUC) system </text>
  </threadedComment>
  <threadedComment ref="C24" dT="2026-09-09T21:50:00.40" personId="{0FB3487B-4A59-4F14-B67C-F0997412D707}" id="{01556224-3AA8-44A6-8316-E696DFFDB0F4}">
    <text>Includes $15,000 of budgeted costs under NZTA recovery so assumption of 100% recovery from NZTA for SH items</text>
  </threadedComment>
  <threadedComment ref="H28" dT="2026-07-27T20:59:51.38" personId="{0FB3487B-4A59-4F14-B67C-F0997412D707}" id="{70982EF5-F9EB-40B7-B2FB-BC2D02666D59}">
    <text>This is based on NZTA data on RUC cost splits this may be different and you have a council source that might fit better this can be updated.</text>
  </threadedComment>
  <threadedComment ref="G32" dT="2026-07-28T00:17:53.74" personId="{0FB3487B-4A59-4F14-B67C-F0997412D707}" id="{F0124BBB-D156-48F8-8AD0-E210FDA6EC13}">
    <text xml:space="preserve">This is driven off the Te Manatū Waka (2022) Background to the road user charges (RUC) system </text>
  </threadedComment>
  <threadedComment ref="G33" dT="2026-07-28T00:17:53.74" personId="{0FB3487B-4A59-4F14-B67C-F0997412D707}" id="{B805E7EB-BE40-4417-8F42-B60D616F8793}">
    <text xml:space="preserve">This is driven off the Te Manatū Waka (2022) Background to the road user charges (RUC) system </text>
  </threadedComment>
  <threadedComment ref="G34" dT="2026-07-28T00:23:04.92" personId="{0FB3487B-4A59-4F14-B67C-F0997412D707}" id="{6F226788-C663-4267-A589-343AA4AD6E5A}">
    <text>Based on VKT</text>
  </threadedComment>
  <threadedComment ref="G35" dT="2026-07-28T00:17:53.74" personId="{0FB3487B-4A59-4F14-B67C-F0997412D707}" id="{2A521CD6-BA59-4214-9F02-0D238D43AEF7}">
    <text xml:space="preserve">This is driven off the Te Manatū Waka (2022) Background to the road user charges (RUC) system </text>
  </threadedComment>
  <threadedComment ref="G36" dT="2026-07-28T00:18:07.07" personId="{0FB3487B-4A59-4F14-B67C-F0997412D707}" id="{2CBF7EAB-2929-4B6E-A91E-6EA9F68B667D}">
    <text xml:space="preserve">This is driven off the Te Manatū Waka (2022) Background to the road user charges (RUC) system </text>
  </threadedComment>
  <threadedComment ref="H43" dT="2026-07-27T20:59:51.38" personId="{0FB3487B-4A59-4F14-B67C-F0997412D707}" id="{0A32807E-B968-4842-BD3B-81D4A75FD89F}">
    <text>This is based on NZTA data on RUC cost splits this may be different and you have a council source that might fit better this can be updated.</text>
  </threadedComment>
</ThreadedComments>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710B8B4D-A65D-4019-8DC3-76D049BF1C81}">
  <we:reference id="wa104380862" version="3.0.0.0" store="en-US" storeType="OMEX"/>
  <we:alternateReferences>
    <we:reference id="WA104380862" version="3.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7BAFA333-AB4D-4244-A958-3CDEB5818F62}">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hyperlink" Target="../Reports/Kill%20data.xlsx" TargetMode="External"/><Relationship Id="rId1" Type="http://schemas.openxmlformats.org/officeDocument/2006/relationships/hyperlink" Target="https://www.nzta.govt.nz/partners/planning-and-investment/learning-and-resources/transport-data/funding-and-transport-dashboard-and-open-data"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view.officeapps.live.com/op/view.aspx?src=https%3A%2F%2Fwww.mpi.govt.nz%2Fdmsdocument%2F27118-Wood-Availability-Forecast-New-Zealand-2021-to-2060-national-and-regional-summary-tables&amp;wdOrigin=BROWSELINK" TargetMode="External"/><Relationship Id="rId1" Type="http://schemas.openxmlformats.org/officeDocument/2006/relationships/hyperlink" Target="https://www.mpi.govt.nz/forestry/forest-industry-and-workforce/forestry-wood-processing-data/new-zealand-forest-data"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116D-4E55-49C4-92EF-090529C09848}">
  <sheetPr>
    <tabColor theme="4"/>
  </sheetPr>
  <dimension ref="B3:G20"/>
  <sheetViews>
    <sheetView tabSelected="1" topLeftCell="B3" workbookViewId="0">
      <selection activeCell="B10" sqref="B10"/>
    </sheetView>
  </sheetViews>
  <sheetFormatPr defaultColWidth="0" defaultRowHeight="12.75" zeroHeight="1"/>
  <cols>
    <col min="1" max="1" width="9.140625" style="22" hidden="1" customWidth="1"/>
    <col min="2" max="2" width="9.140625" style="22" customWidth="1"/>
    <col min="3" max="3" width="44.7109375" style="22" customWidth="1"/>
    <col min="4" max="4" width="11.28515625" style="22" customWidth="1"/>
    <col min="5" max="5" width="10.140625" style="22" customWidth="1"/>
    <col min="6" max="7" width="9.140625" style="22" customWidth="1"/>
    <col min="8" max="10" width="9.140625" style="22" hidden="1" customWidth="1"/>
    <col min="11" max="16384" width="9.140625" style="22" hidden="1"/>
  </cols>
  <sheetData>
    <row r="3" spans="3:6"/>
    <row r="4" spans="3:6"/>
    <row r="5" spans="3:6"/>
    <row r="6" spans="3:6"/>
    <row r="7" spans="3:6" ht="80.25" customHeight="1">
      <c r="C7" s="214" t="s">
        <v>571</v>
      </c>
    </row>
    <row r="10" spans="3:6" ht="11.25" customHeight="1"/>
    <row r="11" spans="3:6" ht="332.25" customHeight="1">
      <c r="C11" s="225" t="s">
        <v>570</v>
      </c>
      <c r="D11" s="226"/>
      <c r="E11" s="226"/>
      <c r="F11" s="226"/>
    </row>
    <row r="12" spans="3:6"/>
    <row r="13" spans="3:6">
      <c r="D13" s="188" t="s">
        <v>0</v>
      </c>
      <c r="E13" s="188" t="s">
        <v>1</v>
      </c>
    </row>
    <row r="14" spans="3:6">
      <c r="C14" s="189" t="s">
        <v>2</v>
      </c>
      <c r="D14" s="189" t="s">
        <v>3</v>
      </c>
      <c r="E14" s="190"/>
    </row>
    <row r="15" spans="3:6">
      <c r="C15" s="189" t="s">
        <v>4</v>
      </c>
      <c r="D15" s="189" t="s">
        <v>5</v>
      </c>
      <c r="E15" s="191">
        <v>46233</v>
      </c>
    </row>
    <row r="16" spans="3:6">
      <c r="C16" s="189" t="s">
        <v>6</v>
      </c>
      <c r="D16" s="189"/>
      <c r="E16" s="191"/>
    </row>
    <row r="17" spans="3:6">
      <c r="C17" s="189" t="s">
        <v>7</v>
      </c>
      <c r="D17" s="189" t="s">
        <v>5</v>
      </c>
      <c r="E17" s="191">
        <v>46233</v>
      </c>
    </row>
    <row r="18" spans="3:6"/>
    <row r="19" spans="3:6"/>
    <row r="20" spans="3:6" ht="74.25" customHeight="1">
      <c r="C20" s="225" t="s">
        <v>572</v>
      </c>
      <c r="D20" s="226"/>
      <c r="E20" s="226"/>
      <c r="F20" s="226"/>
    </row>
  </sheetData>
  <sheetProtection algorithmName="SHA-512" hashValue="9ItX9/r6CLbfZQBdFgaBPODaOIHztO7abVK4woixO+EFGgbSpYh/cvtgxq3re/oZlhps5QXSxfU9lmycT74oSg==" saltValue="yZbK5YnGMhUBCmkcV4B0iQ==" spinCount="100000" sheet="1" objects="1" scenarios="1"/>
  <mergeCells count="2">
    <mergeCell ref="C11:F11"/>
    <mergeCell ref="C20:F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S116"/>
  <sheetViews>
    <sheetView topLeftCell="B1" zoomScale="70" zoomScaleNormal="70" workbookViewId="0">
      <selection activeCell="F36" sqref="F36"/>
    </sheetView>
  </sheetViews>
  <sheetFormatPr defaultColWidth="9.140625" defaultRowHeight="15"/>
  <cols>
    <col min="1" max="1" width="45.5703125" style="8" customWidth="1"/>
    <col min="2" max="3" width="49.7109375" style="8" customWidth="1"/>
    <col min="4" max="4" width="23.85546875" style="8" customWidth="1"/>
    <col min="5" max="5" width="19.140625" style="8" customWidth="1"/>
    <col min="6" max="6" width="25" style="8" customWidth="1"/>
    <col min="7" max="7" width="23.28515625" style="8" customWidth="1"/>
    <col min="8" max="8" width="26" style="8" customWidth="1"/>
    <col min="9" max="9" width="18.85546875" style="8" customWidth="1"/>
    <col min="10" max="10" width="17.85546875" style="8" customWidth="1"/>
    <col min="11" max="11" width="22.7109375" style="8" customWidth="1"/>
    <col min="12" max="12" width="20.7109375" style="8" customWidth="1"/>
    <col min="13" max="13" width="18.140625" style="8" customWidth="1"/>
    <col min="14" max="14" width="20.42578125" style="8" customWidth="1"/>
    <col min="15" max="15" width="26" style="8" customWidth="1"/>
    <col min="16" max="16" width="22.140625" style="8" customWidth="1"/>
    <col min="17" max="16384" width="9.140625" style="8"/>
  </cols>
  <sheetData>
    <row r="1" spans="1:17" ht="20.25">
      <c r="A1" s="167" t="s">
        <v>8</v>
      </c>
      <c r="B1" s="167"/>
      <c r="C1" s="167"/>
      <c r="D1" s="167"/>
      <c r="E1" s="167"/>
      <c r="F1" s="167"/>
    </row>
    <row r="2" spans="1:17">
      <c r="A2"/>
      <c r="B2"/>
      <c r="C2"/>
      <c r="D2"/>
      <c r="E2"/>
      <c r="F2"/>
    </row>
    <row r="3" spans="1:17" ht="20.25">
      <c r="A3" s="100" t="s">
        <v>9</v>
      </c>
      <c r="B3" s="99"/>
      <c r="C3" s="99"/>
      <c r="D3" s="99"/>
      <c r="E3" s="99"/>
      <c r="F3" s="99"/>
      <c r="G3" s="99"/>
      <c r="H3" s="99"/>
      <c r="I3" s="99"/>
      <c r="J3" s="99"/>
      <c r="K3" s="99"/>
      <c r="L3" s="99"/>
      <c r="M3" s="99"/>
      <c r="N3" s="99"/>
    </row>
    <row r="4" spans="1:17">
      <c r="A4"/>
      <c r="B4"/>
      <c r="C4"/>
      <c r="D4"/>
      <c r="E4"/>
      <c r="F4"/>
    </row>
    <row r="5" spans="1:17">
      <c r="A5" s="106" t="s">
        <v>10</v>
      </c>
      <c r="B5" s="105" t="s">
        <v>11</v>
      </c>
      <c r="C5"/>
      <c r="D5"/>
      <c r="E5"/>
      <c r="F5"/>
    </row>
    <row r="6" spans="1:17" ht="51">
      <c r="A6" s="102" t="s">
        <v>12</v>
      </c>
      <c r="B6" s="102" t="s">
        <v>13</v>
      </c>
      <c r="C6" s="102" t="s">
        <v>14</v>
      </c>
      <c r="D6" s="102" t="s">
        <v>15</v>
      </c>
      <c r="E6" s="102" t="s">
        <v>16</v>
      </c>
      <c r="F6" s="102" t="s">
        <v>17</v>
      </c>
      <c r="G6" s="102" t="s">
        <v>18</v>
      </c>
      <c r="H6" s="102" t="s">
        <v>19</v>
      </c>
      <c r="I6" s="102" t="s">
        <v>20</v>
      </c>
      <c r="J6" s="102" t="s">
        <v>21</v>
      </c>
      <c r="K6" s="102" t="s">
        <v>22</v>
      </c>
      <c r="L6" s="102" t="s">
        <v>23</v>
      </c>
      <c r="M6" s="102" t="s">
        <v>24</v>
      </c>
      <c r="N6" s="102" t="s">
        <v>25</v>
      </c>
      <c r="O6" s="102" t="s">
        <v>26</v>
      </c>
      <c r="P6" s="102" t="s">
        <v>569</v>
      </c>
    </row>
    <row r="7" spans="1:17">
      <c r="A7" s="198" t="s">
        <v>27</v>
      </c>
      <c r="B7" s="102" t="s">
        <v>28</v>
      </c>
      <c r="C7" s="102" t="s">
        <v>28</v>
      </c>
      <c r="D7" s="15">
        <v>32102.777699999999</v>
      </c>
      <c r="E7" s="15">
        <v>25490.5321</v>
      </c>
      <c r="F7" s="15">
        <v>43408.534599999999</v>
      </c>
      <c r="G7" s="15">
        <v>25799.510600000001</v>
      </c>
      <c r="H7" s="15">
        <v>30248.622800000001</v>
      </c>
      <c r="I7" s="15">
        <v>3824.7633999999998</v>
      </c>
      <c r="J7" s="15">
        <v>2594.6089000000002</v>
      </c>
      <c r="K7" s="15">
        <v>97348.336599999995</v>
      </c>
      <c r="L7" s="15">
        <v>17470.539700000001</v>
      </c>
      <c r="M7" s="15">
        <v>37807.332600000002</v>
      </c>
      <c r="N7" s="15">
        <v>6589.3065999999999</v>
      </c>
      <c r="O7" s="335">
        <f t="shared" ref="O7:O26" si="0">SUM(D7:N7)</f>
        <v>322684.86560000008</v>
      </c>
      <c r="P7" s="336">
        <f>SUM(K7,H7,D7)</f>
        <v>159699.7371</v>
      </c>
      <c r="Q7" s="337">
        <f>P7/O7</f>
        <v>0.49490928805432005</v>
      </c>
    </row>
    <row r="8" spans="1:17">
      <c r="A8" s="198" t="s">
        <v>29</v>
      </c>
      <c r="B8" s="102" t="s">
        <v>30</v>
      </c>
      <c r="C8" s="102" t="s">
        <v>31</v>
      </c>
      <c r="D8" s="15">
        <v>6185.5346</v>
      </c>
      <c r="E8" s="15">
        <v>2.4030999999999998</v>
      </c>
      <c r="F8" s="15">
        <v>2502.4580000000001</v>
      </c>
      <c r="G8" s="15">
        <v>619.49270000000001</v>
      </c>
      <c r="H8" s="15">
        <v>21637.695400000001</v>
      </c>
      <c r="I8" s="15">
        <v>0</v>
      </c>
      <c r="J8" s="15">
        <v>1224.6782000000001</v>
      </c>
      <c r="K8" s="15">
        <v>2317.4413</v>
      </c>
      <c r="L8" s="15">
        <v>88.495500000000007</v>
      </c>
      <c r="M8" s="15">
        <v>4984.2907999999998</v>
      </c>
      <c r="N8" s="15">
        <v>850.15989999999999</v>
      </c>
      <c r="O8" s="335">
        <f t="shared" si="0"/>
        <v>40412.6495</v>
      </c>
      <c r="P8" s="336">
        <f t="shared" ref="P8:P28" si="1">SUM(K8,H8,D8)</f>
        <v>30140.671299999998</v>
      </c>
      <c r="Q8" s="337">
        <f t="shared" ref="Q8:Q26" si="2">P8/O8</f>
        <v>0.74582269841030835</v>
      </c>
    </row>
    <row r="9" spans="1:17">
      <c r="A9" s="198" t="s">
        <v>29</v>
      </c>
      <c r="B9" s="102" t="s">
        <v>30</v>
      </c>
      <c r="C9" s="102" t="s">
        <v>32</v>
      </c>
      <c r="D9" s="15">
        <v>0</v>
      </c>
      <c r="E9" s="15">
        <v>0</v>
      </c>
      <c r="F9" s="15">
        <v>0</v>
      </c>
      <c r="G9" s="15">
        <v>0</v>
      </c>
      <c r="H9" s="15">
        <v>111.5089</v>
      </c>
      <c r="I9" s="15">
        <v>0</v>
      </c>
      <c r="J9" s="15">
        <v>0</v>
      </c>
      <c r="K9" s="15">
        <v>24.508299999999998</v>
      </c>
      <c r="L9" s="15">
        <v>1.9859</v>
      </c>
      <c r="M9" s="15">
        <v>2.7159</v>
      </c>
      <c r="N9" s="15">
        <v>0</v>
      </c>
      <c r="O9" s="335">
        <f t="shared" si="0"/>
        <v>140.71899999999999</v>
      </c>
      <c r="P9" s="336">
        <f t="shared" si="1"/>
        <v>136.0172</v>
      </c>
      <c r="Q9" s="337">
        <f t="shared" si="2"/>
        <v>0.96658731230324269</v>
      </c>
    </row>
    <row r="10" spans="1:17">
      <c r="A10" s="198" t="s">
        <v>29</v>
      </c>
      <c r="B10" s="102" t="s">
        <v>30</v>
      </c>
      <c r="C10" s="102" t="s">
        <v>33</v>
      </c>
      <c r="D10" s="15">
        <v>317.82659999999998</v>
      </c>
      <c r="E10" s="15">
        <v>1.61E-2</v>
      </c>
      <c r="F10" s="15">
        <v>307.90469999999999</v>
      </c>
      <c r="G10" s="15">
        <v>43.501199999999997</v>
      </c>
      <c r="H10" s="15">
        <v>981.93330000000003</v>
      </c>
      <c r="I10" s="15">
        <v>0</v>
      </c>
      <c r="J10" s="15">
        <v>54.082900000000002</v>
      </c>
      <c r="K10" s="15">
        <v>197.46950000000001</v>
      </c>
      <c r="L10" s="15">
        <v>0</v>
      </c>
      <c r="M10" s="15">
        <v>535.45259999999996</v>
      </c>
      <c r="N10" s="15">
        <v>35.342100000000002</v>
      </c>
      <c r="O10" s="335">
        <f t="shared" si="0"/>
        <v>2473.529</v>
      </c>
      <c r="P10" s="336">
        <f t="shared" si="1"/>
        <v>1497.2294000000002</v>
      </c>
      <c r="Q10" s="337">
        <f t="shared" si="2"/>
        <v>0.60530092834973848</v>
      </c>
    </row>
    <row r="11" spans="1:17">
      <c r="A11" s="198" t="s">
        <v>29</v>
      </c>
      <c r="B11" s="102" t="s">
        <v>34</v>
      </c>
      <c r="C11" s="102" t="s">
        <v>35</v>
      </c>
      <c r="D11" s="15">
        <v>0</v>
      </c>
      <c r="E11" s="15">
        <v>0</v>
      </c>
      <c r="F11" s="15">
        <v>0</v>
      </c>
      <c r="G11" s="15">
        <v>0</v>
      </c>
      <c r="H11" s="15">
        <v>0</v>
      </c>
      <c r="I11" s="15">
        <v>0</v>
      </c>
      <c r="J11" s="15">
        <v>0</v>
      </c>
      <c r="K11" s="15">
        <v>6.4367000000000001</v>
      </c>
      <c r="L11" s="15">
        <v>0</v>
      </c>
      <c r="M11" s="15">
        <v>0</v>
      </c>
      <c r="N11" s="15">
        <v>0</v>
      </c>
      <c r="O11" s="335">
        <f t="shared" si="0"/>
        <v>6.4367000000000001</v>
      </c>
      <c r="P11" s="336">
        <f t="shared" si="1"/>
        <v>6.4367000000000001</v>
      </c>
      <c r="Q11" s="337">
        <f t="shared" si="2"/>
        <v>1</v>
      </c>
    </row>
    <row r="12" spans="1:17">
      <c r="A12" s="198" t="s">
        <v>29</v>
      </c>
      <c r="B12" s="102" t="s">
        <v>34</v>
      </c>
      <c r="C12" s="102" t="s">
        <v>32</v>
      </c>
      <c r="D12" s="15">
        <v>2770.9479999999999</v>
      </c>
      <c r="E12" s="15">
        <v>0</v>
      </c>
      <c r="F12" s="15">
        <v>635.00959999999998</v>
      </c>
      <c r="G12" s="15">
        <v>0</v>
      </c>
      <c r="H12" s="15">
        <v>11128.984200000001</v>
      </c>
      <c r="I12" s="15">
        <v>0</v>
      </c>
      <c r="J12" s="15">
        <v>541.45010000000002</v>
      </c>
      <c r="K12" s="15">
        <v>5722.0052999999998</v>
      </c>
      <c r="L12" s="15">
        <v>253.79429999999999</v>
      </c>
      <c r="M12" s="15">
        <v>210.059</v>
      </c>
      <c r="N12" s="15">
        <v>68.964100000000002</v>
      </c>
      <c r="O12" s="335">
        <f t="shared" si="0"/>
        <v>21331.214600000003</v>
      </c>
      <c r="P12" s="336">
        <f t="shared" si="1"/>
        <v>19621.9375</v>
      </c>
      <c r="Q12" s="337">
        <f t="shared" si="2"/>
        <v>0.9198696777444636</v>
      </c>
    </row>
    <row r="13" spans="1:17">
      <c r="A13" s="198" t="s">
        <v>29</v>
      </c>
      <c r="B13" s="102" t="s">
        <v>34</v>
      </c>
      <c r="C13" s="102" t="s">
        <v>36</v>
      </c>
      <c r="D13" s="15">
        <v>20.499600000000001</v>
      </c>
      <c r="E13" s="15">
        <v>0</v>
      </c>
      <c r="F13" s="15">
        <v>25.4694</v>
      </c>
      <c r="G13" s="15">
        <v>0</v>
      </c>
      <c r="H13" s="15">
        <v>3.5716000000000001</v>
      </c>
      <c r="I13" s="15">
        <v>0</v>
      </c>
      <c r="J13" s="15">
        <v>0</v>
      </c>
      <c r="K13" s="15">
        <v>0</v>
      </c>
      <c r="L13" s="15">
        <v>0</v>
      </c>
      <c r="M13" s="15">
        <v>0</v>
      </c>
      <c r="N13" s="15">
        <v>0</v>
      </c>
      <c r="O13" s="335">
        <f t="shared" si="0"/>
        <v>49.540599999999998</v>
      </c>
      <c r="P13" s="336">
        <f t="shared" si="1"/>
        <v>24.071200000000001</v>
      </c>
      <c r="Q13" s="337">
        <f t="shared" si="2"/>
        <v>0.4858883420870963</v>
      </c>
    </row>
    <row r="14" spans="1:17">
      <c r="A14" s="198" t="s">
        <v>29</v>
      </c>
      <c r="B14" s="102" t="s">
        <v>34</v>
      </c>
      <c r="C14" s="102" t="s">
        <v>33</v>
      </c>
      <c r="D14" s="15">
        <v>3834.8544000000002</v>
      </c>
      <c r="E14" s="15">
        <v>154.7389</v>
      </c>
      <c r="F14" s="15">
        <v>1536.3788</v>
      </c>
      <c r="G14" s="15">
        <v>56.074800000000003</v>
      </c>
      <c r="H14" s="15">
        <v>11946.8879</v>
      </c>
      <c r="I14" s="15">
        <v>0</v>
      </c>
      <c r="J14" s="15">
        <v>827.72170000000006</v>
      </c>
      <c r="K14" s="15">
        <v>2764.5641000000001</v>
      </c>
      <c r="L14" s="15">
        <v>656.7722</v>
      </c>
      <c r="M14" s="15">
        <v>983.63689999999997</v>
      </c>
      <c r="N14" s="15">
        <v>553.75620000000004</v>
      </c>
      <c r="O14" s="335">
        <f t="shared" si="0"/>
        <v>23315.385899999997</v>
      </c>
      <c r="P14" s="336">
        <f t="shared" si="1"/>
        <v>18546.306400000001</v>
      </c>
      <c r="Q14" s="337">
        <f t="shared" si="2"/>
        <v>0.7954535464068816</v>
      </c>
    </row>
    <row r="15" spans="1:17">
      <c r="A15" s="198" t="s">
        <v>29</v>
      </c>
      <c r="B15" s="102" t="s">
        <v>34</v>
      </c>
      <c r="C15" s="102" t="s">
        <v>37</v>
      </c>
      <c r="D15" s="15">
        <v>129.1035</v>
      </c>
      <c r="E15" s="15">
        <v>0</v>
      </c>
      <c r="F15" s="15">
        <v>68.3964</v>
      </c>
      <c r="G15" s="15">
        <v>184.11539999999999</v>
      </c>
      <c r="H15" s="15">
        <v>1934.1669999999999</v>
      </c>
      <c r="I15" s="15">
        <v>0</v>
      </c>
      <c r="J15" s="15">
        <v>112.9307</v>
      </c>
      <c r="K15" s="15">
        <v>2756.7347</v>
      </c>
      <c r="L15" s="15">
        <v>186.61869999999999</v>
      </c>
      <c r="M15" s="15">
        <v>51.425899999999999</v>
      </c>
      <c r="N15" s="15">
        <v>2072.6383999999998</v>
      </c>
      <c r="O15" s="335">
        <f t="shared" si="0"/>
        <v>7496.1306999999997</v>
      </c>
      <c r="P15" s="336">
        <f t="shared" si="1"/>
        <v>4820.0052000000005</v>
      </c>
      <c r="Q15" s="337">
        <f t="shared" si="2"/>
        <v>0.64299908751591017</v>
      </c>
    </row>
    <row r="16" spans="1:17">
      <c r="A16" s="198" t="s">
        <v>38</v>
      </c>
      <c r="B16" s="102" t="s">
        <v>39</v>
      </c>
      <c r="C16" s="102" t="s">
        <v>39</v>
      </c>
      <c r="D16" s="15">
        <v>6584.9906000000001</v>
      </c>
      <c r="E16" s="15">
        <v>1106.8583000000001</v>
      </c>
      <c r="F16" s="15">
        <v>3066.3789999999999</v>
      </c>
      <c r="G16" s="15">
        <v>2349.9699000000001</v>
      </c>
      <c r="H16" s="15">
        <v>13110.4427</v>
      </c>
      <c r="I16" s="15">
        <v>0</v>
      </c>
      <c r="J16" s="15">
        <v>1676.213</v>
      </c>
      <c r="K16" s="15">
        <v>10626.8213</v>
      </c>
      <c r="L16" s="15">
        <v>1892.7399</v>
      </c>
      <c r="M16" s="15">
        <v>1243.1017999999999</v>
      </c>
      <c r="N16" s="15">
        <v>3204.4391000000001</v>
      </c>
      <c r="O16" s="335">
        <f t="shared" si="0"/>
        <v>44861.955600000001</v>
      </c>
      <c r="P16" s="336">
        <f t="shared" si="1"/>
        <v>30322.2546</v>
      </c>
      <c r="Q16" s="337">
        <f t="shared" si="2"/>
        <v>0.67590131090941563</v>
      </c>
    </row>
    <row r="17" spans="1:19">
      <c r="A17" s="180" t="s">
        <v>40</v>
      </c>
      <c r="B17" s="102" t="s">
        <v>41</v>
      </c>
      <c r="C17" s="102" t="s">
        <v>42</v>
      </c>
      <c r="D17" s="15">
        <v>10088.9262</v>
      </c>
      <c r="E17" s="15">
        <v>2002.0967000000001</v>
      </c>
      <c r="F17" s="15">
        <v>2792.5565000000001</v>
      </c>
      <c r="G17" s="15">
        <v>0</v>
      </c>
      <c r="H17" s="15">
        <v>2833.6815999999999</v>
      </c>
      <c r="I17" s="15">
        <v>0</v>
      </c>
      <c r="J17" s="15">
        <v>2.4982000000000002</v>
      </c>
      <c r="K17" s="15">
        <v>15839.6091</v>
      </c>
      <c r="L17" s="15">
        <v>0</v>
      </c>
      <c r="M17" s="15">
        <v>304.35129999999998</v>
      </c>
      <c r="N17" s="15">
        <v>0</v>
      </c>
      <c r="O17" s="335">
        <f t="shared" si="0"/>
        <v>33863.719600000004</v>
      </c>
      <c r="P17" s="336">
        <f t="shared" si="1"/>
        <v>28762.216899999999</v>
      </c>
      <c r="Q17" s="337">
        <f t="shared" si="2"/>
        <v>0.84935196841164473</v>
      </c>
    </row>
    <row r="18" spans="1:19">
      <c r="A18" s="180" t="s">
        <v>43</v>
      </c>
      <c r="B18" s="102" t="s">
        <v>41</v>
      </c>
      <c r="C18" s="102" t="s">
        <v>44</v>
      </c>
      <c r="D18" s="15">
        <v>31744.4126</v>
      </c>
      <c r="E18" s="15">
        <v>672.8347</v>
      </c>
      <c r="F18" s="15">
        <v>7911.2875000000004</v>
      </c>
      <c r="G18" s="15">
        <v>881.28060000000005</v>
      </c>
      <c r="H18" s="15">
        <v>75555.5003</v>
      </c>
      <c r="I18" s="15">
        <v>0</v>
      </c>
      <c r="J18" s="15">
        <v>3232.0803000000001</v>
      </c>
      <c r="K18" s="15">
        <v>55890.917399999998</v>
      </c>
      <c r="L18" s="15">
        <v>8945.5521000000008</v>
      </c>
      <c r="M18" s="15">
        <v>3363.2325999999998</v>
      </c>
      <c r="N18" s="15">
        <v>3715.8433</v>
      </c>
      <c r="O18" s="335">
        <f t="shared" si="0"/>
        <v>191912.94140000001</v>
      </c>
      <c r="P18" s="336">
        <f t="shared" si="1"/>
        <v>163190.8303</v>
      </c>
      <c r="Q18" s="337">
        <f t="shared" si="2"/>
        <v>0.85033780999617359</v>
      </c>
    </row>
    <row r="19" spans="1:19">
      <c r="A19" s="180" t="s">
        <v>43</v>
      </c>
      <c r="B19" s="102" t="s">
        <v>45</v>
      </c>
      <c r="C19" s="102" t="s">
        <v>44</v>
      </c>
      <c r="D19" s="15">
        <v>18668.197800000002</v>
      </c>
      <c r="E19" s="15">
        <v>427.01569999999998</v>
      </c>
      <c r="F19" s="15">
        <v>3970.4476</v>
      </c>
      <c r="G19" s="15">
        <v>1838.2538</v>
      </c>
      <c r="H19" s="15">
        <v>55022.5504</v>
      </c>
      <c r="I19" s="15">
        <v>0</v>
      </c>
      <c r="J19" s="15">
        <v>3864.8240999999998</v>
      </c>
      <c r="K19" s="15">
        <v>34572.266199999998</v>
      </c>
      <c r="L19" s="15">
        <v>10445.9697</v>
      </c>
      <c r="M19" s="15">
        <v>1395.8213000000001</v>
      </c>
      <c r="N19" s="15">
        <v>5484.1891999999998</v>
      </c>
      <c r="O19" s="335">
        <f t="shared" si="0"/>
        <v>135689.53579999998</v>
      </c>
      <c r="P19" s="336">
        <f t="shared" si="1"/>
        <v>108263.01439999999</v>
      </c>
      <c r="Q19" s="337">
        <f t="shared" si="2"/>
        <v>0.79787298085811564</v>
      </c>
    </row>
    <row r="20" spans="1:19">
      <c r="A20" s="180" t="s">
        <v>43</v>
      </c>
      <c r="B20" s="102" t="s">
        <v>45</v>
      </c>
      <c r="C20" s="102" t="s">
        <v>46</v>
      </c>
      <c r="D20" s="15">
        <v>2258.8996999999999</v>
      </c>
      <c r="E20" s="15">
        <v>155.4616</v>
      </c>
      <c r="F20" s="15">
        <v>1883.8498999999999</v>
      </c>
      <c r="G20" s="15">
        <v>656.94110000000001</v>
      </c>
      <c r="H20" s="15">
        <v>1077.3687</v>
      </c>
      <c r="I20" s="15">
        <v>0</v>
      </c>
      <c r="J20" s="15">
        <v>590.99950000000001</v>
      </c>
      <c r="K20" s="15">
        <v>1836.6362999999999</v>
      </c>
      <c r="L20" s="15">
        <v>1.34E-2</v>
      </c>
      <c r="M20" s="15">
        <v>392.33359999999999</v>
      </c>
      <c r="N20" s="15">
        <v>227.2038</v>
      </c>
      <c r="O20" s="335">
        <f t="shared" si="0"/>
        <v>9079.7075999999979</v>
      </c>
      <c r="P20" s="336">
        <f t="shared" si="1"/>
        <v>5172.9047</v>
      </c>
      <c r="Q20" s="337">
        <f t="shared" si="2"/>
        <v>0.56972150733135962</v>
      </c>
      <c r="S20" s="337">
        <f>SUM(P18:P20)/SUM(O18:O20)</f>
        <v>0.82162574050161041</v>
      </c>
    </row>
    <row r="21" spans="1:19">
      <c r="A21" s="180" t="s">
        <v>47</v>
      </c>
      <c r="B21" s="102" t="s">
        <v>48</v>
      </c>
      <c r="C21" s="102" t="s">
        <v>48</v>
      </c>
      <c r="D21" s="15">
        <v>259.42099999999999</v>
      </c>
      <c r="E21" s="15">
        <v>0</v>
      </c>
      <c r="F21" s="15">
        <v>348.34449999999998</v>
      </c>
      <c r="G21" s="15">
        <v>0</v>
      </c>
      <c r="H21" s="15">
        <v>299.6302</v>
      </c>
      <c r="I21" s="15">
        <v>0</v>
      </c>
      <c r="J21" s="15">
        <v>1.3039000000000001</v>
      </c>
      <c r="K21" s="15">
        <v>1295.6378</v>
      </c>
      <c r="L21" s="15">
        <v>0</v>
      </c>
      <c r="M21" s="15">
        <v>0</v>
      </c>
      <c r="N21" s="15">
        <v>0</v>
      </c>
      <c r="O21" s="335">
        <f t="shared" si="0"/>
        <v>2204.3373999999999</v>
      </c>
      <c r="P21" s="336">
        <f t="shared" si="1"/>
        <v>1854.6890000000001</v>
      </c>
      <c r="Q21" s="337">
        <f t="shared" si="2"/>
        <v>0.84138163241253361</v>
      </c>
    </row>
    <row r="22" spans="1:19">
      <c r="A22" s="180" t="s">
        <v>47</v>
      </c>
      <c r="B22" s="102" t="s">
        <v>49</v>
      </c>
      <c r="C22" s="102" t="s">
        <v>49</v>
      </c>
      <c r="D22" s="15">
        <v>1773.6142</v>
      </c>
      <c r="E22" s="15">
        <v>0</v>
      </c>
      <c r="F22" s="15">
        <v>284.24759999999998</v>
      </c>
      <c r="G22" s="15">
        <v>0</v>
      </c>
      <c r="H22" s="15">
        <v>1233.8019999999999</v>
      </c>
      <c r="I22" s="15">
        <v>0</v>
      </c>
      <c r="J22" s="15">
        <v>6.2188999999999997</v>
      </c>
      <c r="K22" s="15">
        <v>1690.7361000000001</v>
      </c>
      <c r="L22" s="15">
        <v>0</v>
      </c>
      <c r="M22" s="15">
        <v>0</v>
      </c>
      <c r="N22" s="15">
        <v>0</v>
      </c>
      <c r="O22" s="335">
        <f t="shared" si="0"/>
        <v>4988.6188000000002</v>
      </c>
      <c r="P22" s="336">
        <f t="shared" si="1"/>
        <v>4698.1522999999997</v>
      </c>
      <c r="Q22" s="337">
        <f t="shared" si="2"/>
        <v>0.94177416402311587</v>
      </c>
      <c r="S22" s="337">
        <f>SUM(P21:P22)/SUM(O21:O22)</f>
        <v>0.91100809149929196</v>
      </c>
    </row>
    <row r="23" spans="1:19">
      <c r="A23" s="180" t="s">
        <v>50</v>
      </c>
      <c r="B23" s="102" t="s">
        <v>51</v>
      </c>
      <c r="C23" s="102" t="s">
        <v>51</v>
      </c>
      <c r="D23" s="15">
        <v>491.67700000000002</v>
      </c>
      <c r="E23" s="15">
        <v>6.8526999999999996</v>
      </c>
      <c r="F23" s="15">
        <v>284.40190000000001</v>
      </c>
      <c r="G23" s="15">
        <v>208.3997</v>
      </c>
      <c r="H23" s="15">
        <v>827.77449999999999</v>
      </c>
      <c r="I23" s="15">
        <v>0</v>
      </c>
      <c r="J23" s="15">
        <v>8.8317999999999994</v>
      </c>
      <c r="K23" s="15">
        <v>9244.0974999999999</v>
      </c>
      <c r="L23" s="15">
        <v>32.171700000000001</v>
      </c>
      <c r="M23" s="15">
        <v>148.58699999999999</v>
      </c>
      <c r="N23" s="15">
        <v>11.391999999999999</v>
      </c>
      <c r="O23" s="335">
        <f t="shared" si="0"/>
        <v>11264.185799999999</v>
      </c>
      <c r="P23" s="336">
        <f t="shared" si="1"/>
        <v>10563.548999999999</v>
      </c>
      <c r="Q23" s="337">
        <f t="shared" si="2"/>
        <v>0.93779960554272812</v>
      </c>
    </row>
    <row r="24" spans="1:19">
      <c r="A24" s="180" t="s">
        <v>50</v>
      </c>
      <c r="B24" s="102" t="s">
        <v>52</v>
      </c>
      <c r="C24" s="102" t="s">
        <v>52</v>
      </c>
      <c r="D24" s="15">
        <v>93.236400000000003</v>
      </c>
      <c r="E24" s="15">
        <v>12.4544</v>
      </c>
      <c r="F24" s="15">
        <v>499.8372</v>
      </c>
      <c r="G24" s="15">
        <v>153.4802</v>
      </c>
      <c r="H24" s="15">
        <v>89.835099999999997</v>
      </c>
      <c r="I24" s="15">
        <v>0</v>
      </c>
      <c r="J24" s="15">
        <v>110.67610000000001</v>
      </c>
      <c r="K24" s="15">
        <v>2425.3353999999999</v>
      </c>
      <c r="L24" s="15">
        <v>14.448</v>
      </c>
      <c r="M24" s="15">
        <v>128.57069999999999</v>
      </c>
      <c r="N24" s="15">
        <v>9.8259000000000007</v>
      </c>
      <c r="O24" s="335">
        <f t="shared" si="0"/>
        <v>3537.6993999999995</v>
      </c>
      <c r="P24" s="336">
        <f t="shared" si="1"/>
        <v>2608.4069</v>
      </c>
      <c r="Q24" s="337">
        <f t="shared" si="2"/>
        <v>0.73731728026411747</v>
      </c>
    </row>
    <row r="25" spans="1:19">
      <c r="A25" s="180" t="s">
        <v>53</v>
      </c>
      <c r="B25" s="102" t="s">
        <v>54</v>
      </c>
      <c r="C25" s="102" t="s">
        <v>54</v>
      </c>
      <c r="D25" s="15">
        <v>483.68549999999999</v>
      </c>
      <c r="E25" s="15">
        <v>0</v>
      </c>
      <c r="F25" s="15">
        <v>3387.3548000000001</v>
      </c>
      <c r="G25" s="15">
        <v>4590.7514000000001</v>
      </c>
      <c r="H25" s="15">
        <v>1585.1898000000001</v>
      </c>
      <c r="I25" s="15">
        <v>0</v>
      </c>
      <c r="J25" s="15">
        <v>2426.4142000000002</v>
      </c>
      <c r="K25" s="15">
        <v>758.82050000000004</v>
      </c>
      <c r="L25" s="15">
        <v>0</v>
      </c>
      <c r="M25" s="15">
        <v>2412.2076000000002</v>
      </c>
      <c r="N25" s="15">
        <v>5927.0542999999998</v>
      </c>
      <c r="O25" s="335">
        <f t="shared" si="0"/>
        <v>21571.4781</v>
      </c>
      <c r="P25" s="336">
        <f t="shared" si="1"/>
        <v>2827.6958</v>
      </c>
      <c r="Q25" s="337">
        <f t="shared" si="2"/>
        <v>0.13108493478710667</v>
      </c>
    </row>
    <row r="26" spans="1:19">
      <c r="A26" s="180" t="s">
        <v>50</v>
      </c>
      <c r="B26" s="102" t="s">
        <v>55</v>
      </c>
      <c r="C26" s="102" t="s">
        <v>55</v>
      </c>
      <c r="D26" s="15">
        <v>124.37569999999999</v>
      </c>
      <c r="E26" s="15">
        <v>0</v>
      </c>
      <c r="F26" s="15">
        <v>168.31950000000001</v>
      </c>
      <c r="G26" s="15">
        <v>250.624</v>
      </c>
      <c r="H26" s="15">
        <v>174.78450000000001</v>
      </c>
      <c r="I26" s="15">
        <v>0</v>
      </c>
      <c r="J26" s="15">
        <v>174.16220000000001</v>
      </c>
      <c r="K26" s="15">
        <v>374.81209999999999</v>
      </c>
      <c r="L26" s="15">
        <v>24.768899999999999</v>
      </c>
      <c r="M26" s="15">
        <v>26.033799999999999</v>
      </c>
      <c r="N26" s="15">
        <v>200.34190000000001</v>
      </c>
      <c r="O26" s="335">
        <f t="shared" si="0"/>
        <v>1518.2226000000001</v>
      </c>
      <c r="P26" s="336">
        <f t="shared" si="1"/>
        <v>673.9722999999999</v>
      </c>
      <c r="Q26" s="337">
        <f t="shared" si="2"/>
        <v>0.44392192554635918</v>
      </c>
    </row>
    <row r="27" spans="1:19">
      <c r="B27"/>
      <c r="C27"/>
      <c r="D27"/>
      <c r="E27"/>
      <c r="F27"/>
      <c r="H27"/>
      <c r="K27"/>
      <c r="L27"/>
      <c r="M27"/>
      <c r="N27"/>
      <c r="O27" s="1"/>
      <c r="P27"/>
      <c r="Q27"/>
    </row>
    <row r="28" spans="1:19">
      <c r="B28"/>
      <c r="C28" s="102" t="s">
        <v>56</v>
      </c>
      <c r="D28" s="336">
        <f>SUM(D7:D26)</f>
        <v>117932.98109999999</v>
      </c>
      <c r="E28" s="338">
        <f t="shared" ref="E28:N28" si="3">SUM(E7:E26)</f>
        <v>30031.264299999995</v>
      </c>
      <c r="F28" s="338">
        <f t="shared" si="3"/>
        <v>73081.177499999991</v>
      </c>
      <c r="G28" s="338">
        <f t="shared" si="3"/>
        <v>37632.395400000001</v>
      </c>
      <c r="H28" s="336">
        <f t="shared" si="3"/>
        <v>229803.93090000001</v>
      </c>
      <c r="I28" s="338">
        <f t="shared" si="3"/>
        <v>3824.7633999999998</v>
      </c>
      <c r="J28" s="338">
        <f t="shared" si="3"/>
        <v>17449.6947</v>
      </c>
      <c r="K28" s="336">
        <f t="shared" si="3"/>
        <v>245693.18620000005</v>
      </c>
      <c r="L28" s="338">
        <f t="shared" si="3"/>
        <v>40013.870000000003</v>
      </c>
      <c r="M28" s="338">
        <f t="shared" si="3"/>
        <v>53989.153400000003</v>
      </c>
      <c r="N28" s="338">
        <f t="shared" si="3"/>
        <v>28950.456799999996</v>
      </c>
      <c r="O28" s="335">
        <f>SUM(D28:N28)</f>
        <v>878402.8737</v>
      </c>
      <c r="P28" s="336">
        <f t="shared" si="1"/>
        <v>593430.09820000001</v>
      </c>
    </row>
    <row r="29" spans="1:19">
      <c r="A29"/>
      <c r="B29"/>
      <c r="C29"/>
      <c r="D29"/>
      <c r="E29"/>
      <c r="F29"/>
      <c r="G29"/>
      <c r="H29"/>
      <c r="I29"/>
      <c r="J29"/>
      <c r="K29"/>
      <c r="L29"/>
      <c r="M29"/>
      <c r="N29"/>
    </row>
    <row r="30" spans="1:19">
      <c r="A30"/>
      <c r="B30"/>
      <c r="C30" s="339" t="str" cm="1">
        <f t="array" ref="C30:C37">_xlfn.UNIQUE(A7:A26)</f>
        <v>Natural Forest</v>
      </c>
      <c r="D30" s="336">
        <f>SUMIF($A$7:$A$26,$C30,D$7:D$26)</f>
        <v>32102.777699999999</v>
      </c>
      <c r="E30" s="338">
        <f t="shared" ref="E30:N30" si="4">SUMIF($A$7:$A$26,$C30,E$7:E$26)</f>
        <v>25490.5321</v>
      </c>
      <c r="F30" s="338">
        <f t="shared" si="4"/>
        <v>43408.534599999999</v>
      </c>
      <c r="G30" s="338">
        <f t="shared" si="4"/>
        <v>25799.510600000001</v>
      </c>
      <c r="H30" s="336">
        <f t="shared" si="4"/>
        <v>30248.622800000001</v>
      </c>
      <c r="I30" s="338">
        <f t="shared" si="4"/>
        <v>3824.7633999999998</v>
      </c>
      <c r="J30" s="338">
        <f t="shared" si="4"/>
        <v>2594.6089000000002</v>
      </c>
      <c r="K30" s="336">
        <f t="shared" si="4"/>
        <v>97348.336599999995</v>
      </c>
      <c r="L30" s="338">
        <f t="shared" si="4"/>
        <v>17470.539700000001</v>
      </c>
      <c r="M30" s="338">
        <f t="shared" si="4"/>
        <v>37807.332600000002</v>
      </c>
      <c r="N30" s="338">
        <f t="shared" si="4"/>
        <v>6589.3065999999999</v>
      </c>
      <c r="O30" s="335">
        <f>SUM(D30:N30)</f>
        <v>322684.86560000008</v>
      </c>
      <c r="P30" s="336">
        <f>SUM(K30,H30,D30)</f>
        <v>159699.7371</v>
      </c>
    </row>
    <row r="31" spans="1:19">
      <c r="A31"/>
      <c r="B31"/>
      <c r="C31" s="102" t="str">
        <v>Forestry</v>
      </c>
      <c r="D31" s="336">
        <f t="shared" ref="D31:N37" si="5">SUMIF($A$7:$A$26,$C31,D$7:D$26)</f>
        <v>13258.766699999998</v>
      </c>
      <c r="E31" s="338">
        <f t="shared" si="5"/>
        <v>157.15809999999999</v>
      </c>
      <c r="F31" s="338">
        <f t="shared" si="5"/>
        <v>5075.6168999999991</v>
      </c>
      <c r="G31" s="338">
        <f t="shared" si="5"/>
        <v>903.18410000000006</v>
      </c>
      <c r="H31" s="336">
        <f t="shared" si="5"/>
        <v>47744.748300000007</v>
      </c>
      <c r="I31" s="338">
        <f t="shared" si="5"/>
        <v>0</v>
      </c>
      <c r="J31" s="338">
        <f t="shared" si="5"/>
        <v>2760.8636000000001</v>
      </c>
      <c r="K31" s="336">
        <f t="shared" si="5"/>
        <v>13789.159899999999</v>
      </c>
      <c r="L31" s="338">
        <f t="shared" si="5"/>
        <v>1187.6666</v>
      </c>
      <c r="M31" s="338">
        <f t="shared" si="5"/>
        <v>6767.5810999999994</v>
      </c>
      <c r="N31" s="338">
        <f t="shared" si="5"/>
        <v>3580.8606999999997</v>
      </c>
      <c r="O31" s="335">
        <f t="shared" ref="O31:O37" si="6">SUM(D31:N31)</f>
        <v>95225.606</v>
      </c>
      <c r="P31" s="336">
        <f t="shared" ref="P31:P37" si="7">SUM(K31,H31,D31)</f>
        <v>74792.674899999998</v>
      </c>
    </row>
    <row r="32" spans="1:19">
      <c r="A32"/>
      <c r="B32"/>
      <c r="C32" s="102" t="str">
        <v xml:space="preserve">Other </v>
      </c>
      <c r="D32" s="336">
        <f t="shared" si="5"/>
        <v>6584.9906000000001</v>
      </c>
      <c r="E32" s="338">
        <f t="shared" si="5"/>
        <v>1106.8583000000001</v>
      </c>
      <c r="F32" s="338">
        <f t="shared" si="5"/>
        <v>3066.3789999999999</v>
      </c>
      <c r="G32" s="338">
        <f t="shared" si="5"/>
        <v>2349.9699000000001</v>
      </c>
      <c r="H32" s="336">
        <f t="shared" si="5"/>
        <v>13110.4427</v>
      </c>
      <c r="I32" s="338">
        <f t="shared" si="5"/>
        <v>0</v>
      </c>
      <c r="J32" s="338">
        <f t="shared" si="5"/>
        <v>1676.213</v>
      </c>
      <c r="K32" s="336">
        <f t="shared" si="5"/>
        <v>10626.8213</v>
      </c>
      <c r="L32" s="338">
        <f t="shared" si="5"/>
        <v>1892.7399</v>
      </c>
      <c r="M32" s="338">
        <f t="shared" si="5"/>
        <v>1243.1017999999999</v>
      </c>
      <c r="N32" s="338">
        <f t="shared" si="5"/>
        <v>3204.4391000000001</v>
      </c>
      <c r="O32" s="335">
        <f t="shared" si="6"/>
        <v>44861.955600000001</v>
      </c>
      <c r="P32" s="336">
        <f t="shared" si="7"/>
        <v>30322.2546</v>
      </c>
    </row>
    <row r="33" spans="1:16">
      <c r="A33"/>
      <c r="B33"/>
      <c r="C33" s="102" t="str">
        <v>Dairy</v>
      </c>
      <c r="D33" s="336">
        <f t="shared" si="5"/>
        <v>10088.9262</v>
      </c>
      <c r="E33" s="338">
        <f t="shared" si="5"/>
        <v>2002.0967000000001</v>
      </c>
      <c r="F33" s="338">
        <f t="shared" si="5"/>
        <v>2792.5565000000001</v>
      </c>
      <c r="G33" s="338">
        <f t="shared" si="5"/>
        <v>0</v>
      </c>
      <c r="H33" s="336">
        <f t="shared" si="5"/>
        <v>2833.6815999999999</v>
      </c>
      <c r="I33" s="338">
        <f t="shared" si="5"/>
        <v>0</v>
      </c>
      <c r="J33" s="338">
        <f t="shared" si="5"/>
        <v>2.4982000000000002</v>
      </c>
      <c r="K33" s="336">
        <f t="shared" si="5"/>
        <v>15839.6091</v>
      </c>
      <c r="L33" s="338">
        <f t="shared" si="5"/>
        <v>0</v>
      </c>
      <c r="M33" s="338">
        <f t="shared" si="5"/>
        <v>304.35129999999998</v>
      </c>
      <c r="N33" s="338">
        <f t="shared" si="5"/>
        <v>0</v>
      </c>
      <c r="O33" s="335">
        <f t="shared" si="6"/>
        <v>33863.719600000004</v>
      </c>
      <c r="P33" s="336">
        <f t="shared" si="7"/>
        <v>28762.216899999999</v>
      </c>
    </row>
    <row r="34" spans="1:16">
      <c r="A34"/>
      <c r="B34"/>
      <c r="C34" s="102" t="str">
        <v>Farming general</v>
      </c>
      <c r="D34" s="336">
        <f t="shared" si="5"/>
        <v>52671.510100000007</v>
      </c>
      <c r="E34" s="338">
        <f t="shared" si="5"/>
        <v>1255.3120000000001</v>
      </c>
      <c r="F34" s="338">
        <f t="shared" si="5"/>
        <v>13765.584999999999</v>
      </c>
      <c r="G34" s="338">
        <f t="shared" si="5"/>
        <v>3376.4755</v>
      </c>
      <c r="H34" s="336">
        <f t="shared" si="5"/>
        <v>131655.41939999998</v>
      </c>
      <c r="I34" s="338">
        <f t="shared" si="5"/>
        <v>0</v>
      </c>
      <c r="J34" s="338">
        <f t="shared" si="5"/>
        <v>7687.9038999999993</v>
      </c>
      <c r="K34" s="336">
        <f t="shared" si="5"/>
        <v>92299.819899999988</v>
      </c>
      <c r="L34" s="338">
        <f t="shared" si="5"/>
        <v>19391.535200000002</v>
      </c>
      <c r="M34" s="338">
        <f t="shared" si="5"/>
        <v>5151.3874999999998</v>
      </c>
      <c r="N34" s="338">
        <f t="shared" si="5"/>
        <v>9427.2362999999987</v>
      </c>
      <c r="O34" s="335">
        <f t="shared" si="6"/>
        <v>336682.18479999999</v>
      </c>
      <c r="P34" s="336">
        <f t="shared" si="7"/>
        <v>276626.74939999997</v>
      </c>
    </row>
    <row r="35" spans="1:16">
      <c r="A35"/>
      <c r="B35"/>
      <c r="C35" s="102" t="str">
        <v>Horticultural</v>
      </c>
      <c r="D35" s="336">
        <f>SUMIF($A$7:$A$26,$C35,D$7:D$26)</f>
        <v>2033.0352</v>
      </c>
      <c r="E35" s="338">
        <f t="shared" si="5"/>
        <v>0</v>
      </c>
      <c r="F35" s="338">
        <f t="shared" si="5"/>
        <v>632.59209999999996</v>
      </c>
      <c r="G35" s="338">
        <f t="shared" si="5"/>
        <v>0</v>
      </c>
      <c r="H35" s="336">
        <f t="shared" si="5"/>
        <v>1533.4322</v>
      </c>
      <c r="I35" s="338">
        <f t="shared" si="5"/>
        <v>0</v>
      </c>
      <c r="J35" s="338">
        <f t="shared" si="5"/>
        <v>7.5228000000000002</v>
      </c>
      <c r="K35" s="336">
        <f t="shared" si="5"/>
        <v>2986.3739</v>
      </c>
      <c r="L35" s="338">
        <f t="shared" si="5"/>
        <v>0</v>
      </c>
      <c r="M35" s="338">
        <f t="shared" si="5"/>
        <v>0</v>
      </c>
      <c r="N35" s="338">
        <f t="shared" si="5"/>
        <v>0</v>
      </c>
      <c r="O35" s="335">
        <f t="shared" si="6"/>
        <v>7192.9562000000005</v>
      </c>
      <c r="P35" s="336">
        <f t="shared" si="7"/>
        <v>6552.8413</v>
      </c>
    </row>
    <row r="36" spans="1:16">
      <c r="A36"/>
      <c r="B36"/>
      <c r="C36" s="102" t="str">
        <v>Other</v>
      </c>
      <c r="D36" s="336">
        <f t="shared" si="5"/>
        <v>709.28909999999996</v>
      </c>
      <c r="E36" s="338">
        <f t="shared" si="5"/>
        <v>19.307099999999998</v>
      </c>
      <c r="F36" s="338">
        <f t="shared" si="5"/>
        <v>952.55860000000007</v>
      </c>
      <c r="G36" s="338">
        <f t="shared" si="5"/>
        <v>612.50390000000004</v>
      </c>
      <c r="H36" s="336">
        <f t="shared" si="5"/>
        <v>1092.3941</v>
      </c>
      <c r="I36" s="338">
        <f t="shared" si="5"/>
        <v>0</v>
      </c>
      <c r="J36" s="338">
        <f t="shared" si="5"/>
        <v>293.67010000000005</v>
      </c>
      <c r="K36" s="336">
        <f t="shared" si="5"/>
        <v>12044.244999999999</v>
      </c>
      <c r="L36" s="338">
        <f t="shared" si="5"/>
        <v>71.388599999999997</v>
      </c>
      <c r="M36" s="338">
        <f t="shared" si="5"/>
        <v>303.19149999999996</v>
      </c>
      <c r="N36" s="338">
        <f t="shared" si="5"/>
        <v>221.5598</v>
      </c>
      <c r="O36" s="335">
        <f t="shared" si="6"/>
        <v>16320.107800000002</v>
      </c>
      <c r="P36" s="336">
        <f t="shared" si="7"/>
        <v>13845.928199999998</v>
      </c>
    </row>
    <row r="37" spans="1:16">
      <c r="A37"/>
      <c r="B37"/>
      <c r="C37" s="102" t="str">
        <v>Lifestyle</v>
      </c>
      <c r="D37" s="336">
        <f t="shared" si="5"/>
        <v>483.68549999999999</v>
      </c>
      <c r="E37" s="338">
        <f t="shared" si="5"/>
        <v>0</v>
      </c>
      <c r="F37" s="338">
        <f t="shared" si="5"/>
        <v>3387.3548000000001</v>
      </c>
      <c r="G37" s="338">
        <f t="shared" si="5"/>
        <v>4590.7514000000001</v>
      </c>
      <c r="H37" s="336">
        <f t="shared" si="5"/>
        <v>1585.1898000000001</v>
      </c>
      <c r="I37" s="338">
        <f t="shared" si="5"/>
        <v>0</v>
      </c>
      <c r="J37" s="338">
        <f t="shared" si="5"/>
        <v>2426.4142000000002</v>
      </c>
      <c r="K37" s="336">
        <f t="shared" si="5"/>
        <v>758.82050000000004</v>
      </c>
      <c r="L37" s="338">
        <f t="shared" si="5"/>
        <v>0</v>
      </c>
      <c r="M37" s="338">
        <f t="shared" si="5"/>
        <v>2412.2076000000002</v>
      </c>
      <c r="N37" s="338">
        <f t="shared" si="5"/>
        <v>5927.0542999999998</v>
      </c>
      <c r="O37" s="335">
        <f t="shared" si="6"/>
        <v>21571.4781</v>
      </c>
      <c r="P37" s="336">
        <f t="shared" si="7"/>
        <v>2827.6958</v>
      </c>
    </row>
    <row r="38" spans="1:16">
      <c r="A38"/>
      <c r="B38"/>
      <c r="D38"/>
      <c r="E38"/>
      <c r="F38"/>
      <c r="G38"/>
      <c r="H38"/>
      <c r="I38"/>
      <c r="J38"/>
      <c r="K38"/>
      <c r="L38"/>
      <c r="M38"/>
      <c r="N38"/>
      <c r="O38" s="1"/>
    </row>
    <row r="39" spans="1:16">
      <c r="A39"/>
      <c r="B39"/>
      <c r="C39" s="102" t="s">
        <v>57</v>
      </c>
      <c r="D39" s="340" t="str">
        <f>IF(D28=SUM(D30:D37),"Pass","Fail")</f>
        <v>Pass</v>
      </c>
      <c r="E39" s="341" t="str">
        <f t="shared" ref="E39:O39" si="8">IF(E28=SUM(E30:E37),"Pass","Fail")</f>
        <v>Pass</v>
      </c>
      <c r="F39" s="341" t="str">
        <f t="shared" si="8"/>
        <v>Pass</v>
      </c>
      <c r="G39" s="341" t="str">
        <f t="shared" si="8"/>
        <v>Pass</v>
      </c>
      <c r="H39" s="340" t="str">
        <f t="shared" si="8"/>
        <v>Pass</v>
      </c>
      <c r="I39" s="341" t="str">
        <f t="shared" si="8"/>
        <v>Pass</v>
      </c>
      <c r="J39" s="341" t="str">
        <f t="shared" si="8"/>
        <v>Pass</v>
      </c>
      <c r="K39" s="340" t="str">
        <f t="shared" si="8"/>
        <v>Pass</v>
      </c>
      <c r="L39" s="341" t="str">
        <f t="shared" si="8"/>
        <v>Pass</v>
      </c>
      <c r="M39" s="341" t="str">
        <f t="shared" si="8"/>
        <v>Pass</v>
      </c>
      <c r="N39" s="341" t="str">
        <f t="shared" si="8"/>
        <v>Pass</v>
      </c>
      <c r="O39" s="342" t="str">
        <f t="shared" si="8"/>
        <v>Pass</v>
      </c>
      <c r="P39" s="340" t="str">
        <f>IF(P28=SUM(P30:P37),"Pass","Fail")</f>
        <v>Pass</v>
      </c>
    </row>
    <row r="40" spans="1:16">
      <c r="A40"/>
      <c r="B40"/>
      <c r="C40"/>
      <c r="D40"/>
      <c r="E40"/>
      <c r="F40"/>
    </row>
    <row r="41" spans="1:16">
      <c r="A41"/>
      <c r="B41"/>
      <c r="C41"/>
      <c r="D41"/>
      <c r="E41"/>
      <c r="F41"/>
    </row>
    <row r="42" spans="1:16">
      <c r="A42"/>
      <c r="B42"/>
      <c r="C42"/>
      <c r="D42"/>
      <c r="E42"/>
      <c r="F42"/>
    </row>
    <row r="43" spans="1:16">
      <c r="A43"/>
      <c r="B43"/>
      <c r="C43" s="343" t="str">
        <f>C30</f>
        <v>Natural Forest</v>
      </c>
      <c r="D43" s="344">
        <f>D30/$O30</f>
        <v>9.9486468447499421E-2</v>
      </c>
      <c r="E43" s="345">
        <f t="shared" ref="E43:N43" si="9">E30/$O30</f>
        <v>7.899512749878404E-2</v>
      </c>
      <c r="F43" s="345">
        <f t="shared" si="9"/>
        <v>0.13452299511873975</v>
      </c>
      <c r="G43" s="345">
        <f t="shared" si="9"/>
        <v>7.9952651488716095E-2</v>
      </c>
      <c r="H43" s="344">
        <f t="shared" si="9"/>
        <v>9.3740444702157713E-2</v>
      </c>
      <c r="I43" s="345">
        <f t="shared" si="9"/>
        <v>1.1852937053270958E-2</v>
      </c>
      <c r="J43" s="345">
        <f t="shared" si="9"/>
        <v>8.0406897769301506E-3</v>
      </c>
      <c r="K43" s="344">
        <f t="shared" si="9"/>
        <v>0.30168237490466293</v>
      </c>
      <c r="L43" s="345">
        <f t="shared" si="9"/>
        <v>5.4141180955342573E-2</v>
      </c>
      <c r="M43" s="345">
        <f t="shared" si="9"/>
        <v>0.1171648770378526</v>
      </c>
      <c r="N43" s="345">
        <f t="shared" si="9"/>
        <v>2.042025301604352E-2</v>
      </c>
      <c r="O43" s="345">
        <f>SUM(D43:N43)</f>
        <v>0.99999999999999989</v>
      </c>
      <c r="P43" s="346">
        <f>SUM(K43,H43,D43)</f>
        <v>0.49490928805432005</v>
      </c>
    </row>
    <row r="44" spans="1:16">
      <c r="A44"/>
      <c r="B44"/>
      <c r="C44" s="343" t="str">
        <f t="shared" ref="C44:C50" si="10">C31</f>
        <v>Forestry</v>
      </c>
      <c r="D44" s="344">
        <f t="shared" ref="D44:N50" si="11">D31/$O31</f>
        <v>0.1392353092507492</v>
      </c>
      <c r="E44" s="345">
        <f t="shared" si="11"/>
        <v>1.650376475419857E-3</v>
      </c>
      <c r="F44" s="345">
        <f t="shared" si="11"/>
        <v>5.3300967178932936E-2</v>
      </c>
      <c r="G44" s="345">
        <f t="shared" si="11"/>
        <v>9.4846768420670385E-3</v>
      </c>
      <c r="H44" s="344">
        <f t="shared" si="11"/>
        <v>0.50138560735439175</v>
      </c>
      <c r="I44" s="345">
        <f t="shared" si="11"/>
        <v>0</v>
      </c>
      <c r="J44" s="345">
        <f t="shared" si="11"/>
        <v>2.8992869837971943E-2</v>
      </c>
      <c r="K44" s="344">
        <f t="shared" si="11"/>
        <v>0.14480516826535081</v>
      </c>
      <c r="L44" s="345">
        <f t="shared" si="11"/>
        <v>1.2472134858348919E-2</v>
      </c>
      <c r="M44" s="345">
        <f t="shared" si="11"/>
        <v>7.1068921315134495E-2</v>
      </c>
      <c r="N44" s="345">
        <f t="shared" si="11"/>
        <v>3.7603968621633135E-2</v>
      </c>
      <c r="O44" s="345">
        <f t="shared" ref="O44:O50" si="12">SUM(D44:N44)</f>
        <v>1</v>
      </c>
      <c r="P44" s="346">
        <f t="shared" ref="P44:P50" si="13">SUM(K44,H44,D44)</f>
        <v>0.78542608487049181</v>
      </c>
    </row>
    <row r="45" spans="1:16">
      <c r="A45"/>
      <c r="B45"/>
      <c r="C45" s="343" t="str">
        <f t="shared" si="10"/>
        <v xml:space="preserve">Other </v>
      </c>
      <c r="D45" s="344">
        <f t="shared" si="11"/>
        <v>0.14678340504621248</v>
      </c>
      <c r="E45" s="345">
        <f t="shared" si="11"/>
        <v>2.4672537904254895E-2</v>
      </c>
      <c r="F45" s="345">
        <f t="shared" si="11"/>
        <v>6.835143406008809E-2</v>
      </c>
      <c r="G45" s="345">
        <f t="shared" si="11"/>
        <v>5.2382243898435848E-2</v>
      </c>
      <c r="H45" s="344">
        <f t="shared" si="11"/>
        <v>0.29223966108156013</v>
      </c>
      <c r="I45" s="345">
        <f t="shared" si="11"/>
        <v>0</v>
      </c>
      <c r="J45" s="345">
        <f t="shared" si="11"/>
        <v>3.7363796954049858E-2</v>
      </c>
      <c r="K45" s="344">
        <f t="shared" si="11"/>
        <v>0.23687824478164299</v>
      </c>
      <c r="L45" s="345">
        <f t="shared" si="11"/>
        <v>4.2190311917655238E-2</v>
      </c>
      <c r="M45" s="345">
        <f t="shared" si="11"/>
        <v>2.7709487546280748E-2</v>
      </c>
      <c r="N45" s="345">
        <f t="shared" si="11"/>
        <v>7.1428876809819672E-2</v>
      </c>
      <c r="O45" s="345">
        <f t="shared" si="12"/>
        <v>1</v>
      </c>
      <c r="P45" s="346">
        <f t="shared" si="13"/>
        <v>0.67590131090941563</v>
      </c>
    </row>
    <row r="46" spans="1:16">
      <c r="A46"/>
      <c r="B46"/>
      <c r="C46" s="343" t="str">
        <f t="shared" si="10"/>
        <v>Dairy</v>
      </c>
      <c r="D46" s="344">
        <f t="shared" si="11"/>
        <v>0.29792728971214372</v>
      </c>
      <c r="E46" s="345">
        <f t="shared" si="11"/>
        <v>5.9122173336209644E-2</v>
      </c>
      <c r="F46" s="345">
        <f t="shared" si="11"/>
        <v>8.2464553007933594E-2</v>
      </c>
      <c r="G46" s="345">
        <f t="shared" si="11"/>
        <v>0</v>
      </c>
      <c r="H46" s="344">
        <f t="shared" si="11"/>
        <v>8.3678982506103658E-2</v>
      </c>
      <c r="I46" s="345">
        <f t="shared" si="11"/>
        <v>0</v>
      </c>
      <c r="J46" s="345">
        <f t="shared" si="11"/>
        <v>7.3772167662290706E-5</v>
      </c>
      <c r="K46" s="344">
        <f t="shared" si="11"/>
        <v>0.46774569619339745</v>
      </c>
      <c r="L46" s="345">
        <f t="shared" si="11"/>
        <v>0</v>
      </c>
      <c r="M46" s="345">
        <f t="shared" si="11"/>
        <v>8.9875330765495694E-3</v>
      </c>
      <c r="N46" s="345">
        <f t="shared" si="11"/>
        <v>0</v>
      </c>
      <c r="O46" s="345">
        <f t="shared" si="12"/>
        <v>0.99999999999999989</v>
      </c>
      <c r="P46" s="346">
        <f t="shared" si="13"/>
        <v>0.84935196841164484</v>
      </c>
    </row>
    <row r="47" spans="1:16">
      <c r="A47"/>
      <c r="B47"/>
      <c r="C47" s="343" t="str">
        <f t="shared" si="10"/>
        <v>Farming general</v>
      </c>
      <c r="D47" s="344">
        <f t="shared" si="11"/>
        <v>0.15644281900834334</v>
      </c>
      <c r="E47" s="345">
        <f t="shared" si="11"/>
        <v>3.7284776464953013E-3</v>
      </c>
      <c r="F47" s="345">
        <f t="shared" si="11"/>
        <v>4.0885991660583994E-2</v>
      </c>
      <c r="G47" s="345">
        <f t="shared" si="11"/>
        <v>1.0028672892228422E-2</v>
      </c>
      <c r="H47" s="344">
        <f t="shared" si="11"/>
        <v>0.39103767690650909</v>
      </c>
      <c r="I47" s="345">
        <f t="shared" si="11"/>
        <v>0</v>
      </c>
      <c r="J47" s="345">
        <f t="shared" si="11"/>
        <v>2.2834305606537694E-2</v>
      </c>
      <c r="K47" s="344">
        <f t="shared" si="11"/>
        <v>0.27414524458675782</v>
      </c>
      <c r="L47" s="345">
        <f t="shared" si="11"/>
        <v>5.7595964608341828E-2</v>
      </c>
      <c r="M47" s="345">
        <f t="shared" si="11"/>
        <v>1.5300445739533527E-2</v>
      </c>
      <c r="N47" s="345">
        <f t="shared" si="11"/>
        <v>2.8000401344668947E-2</v>
      </c>
      <c r="O47" s="345">
        <f t="shared" si="12"/>
        <v>0.99999999999999989</v>
      </c>
      <c r="P47" s="346">
        <f t="shared" si="13"/>
        <v>0.8216257405016103</v>
      </c>
    </row>
    <row r="48" spans="1:16">
      <c r="A48"/>
      <c r="B48"/>
      <c r="C48" s="343" t="str">
        <f t="shared" si="10"/>
        <v>Horticultural</v>
      </c>
      <c r="D48" s="344">
        <f>D35/$O35</f>
        <v>0.28264251073849161</v>
      </c>
      <c r="E48" s="345">
        <f t="shared" si="11"/>
        <v>0</v>
      </c>
      <c r="F48" s="345">
        <f t="shared" si="11"/>
        <v>8.7946052000149808E-2</v>
      </c>
      <c r="G48" s="345">
        <f t="shared" si="11"/>
        <v>0</v>
      </c>
      <c r="H48" s="344">
        <f t="shared" si="11"/>
        <v>0.21318525476354214</v>
      </c>
      <c r="I48" s="345">
        <f t="shared" si="11"/>
        <v>0</v>
      </c>
      <c r="J48" s="345">
        <f t="shared" si="11"/>
        <v>1.0458565005581433E-3</v>
      </c>
      <c r="K48" s="344">
        <f t="shared" si="11"/>
        <v>0.41518032599725824</v>
      </c>
      <c r="L48" s="345">
        <f t="shared" si="11"/>
        <v>0</v>
      </c>
      <c r="M48" s="345">
        <f t="shared" si="11"/>
        <v>0</v>
      </c>
      <c r="N48" s="345">
        <f t="shared" si="11"/>
        <v>0</v>
      </c>
      <c r="O48" s="345">
        <f t="shared" si="12"/>
        <v>1</v>
      </c>
      <c r="P48" s="346">
        <f>SUM(K48,H48,D48)</f>
        <v>0.91100809149929196</v>
      </c>
    </row>
    <row r="49" spans="1:16">
      <c r="A49"/>
      <c r="B49"/>
      <c r="C49" s="343" t="str">
        <f t="shared" si="10"/>
        <v>Other</v>
      </c>
      <c r="D49" s="344">
        <f t="shared" si="11"/>
        <v>4.346105483445397E-2</v>
      </c>
      <c r="E49" s="345">
        <f t="shared" si="11"/>
        <v>1.1830252738894284E-3</v>
      </c>
      <c r="F49" s="345">
        <f t="shared" si="11"/>
        <v>5.8367175736424977E-2</v>
      </c>
      <c r="G49" s="345">
        <f t="shared" si="11"/>
        <v>3.7530628320972238E-2</v>
      </c>
      <c r="H49" s="344">
        <f t="shared" si="11"/>
        <v>6.6935470855161869E-2</v>
      </c>
      <c r="I49" s="345">
        <f t="shared" si="11"/>
        <v>0</v>
      </c>
      <c r="J49" s="345">
        <f t="shared" si="11"/>
        <v>1.7994372561681241E-2</v>
      </c>
      <c r="K49" s="344">
        <f t="shared" si="11"/>
        <v>0.73800033355171824</v>
      </c>
      <c r="L49" s="345">
        <f t="shared" si="11"/>
        <v>4.3742725768024637E-3</v>
      </c>
      <c r="M49" s="345">
        <f t="shared" si="11"/>
        <v>1.8577787825641685E-2</v>
      </c>
      <c r="N49" s="345">
        <f t="shared" si="11"/>
        <v>1.3575878463253777E-2</v>
      </c>
      <c r="O49" s="345">
        <f t="shared" si="12"/>
        <v>0.99999999999999989</v>
      </c>
      <c r="P49" s="346">
        <f t="shared" si="13"/>
        <v>0.84839685924133401</v>
      </c>
    </row>
    <row r="50" spans="1:16">
      <c r="A50"/>
      <c r="B50"/>
      <c r="C50" s="343" t="str">
        <f t="shared" si="10"/>
        <v>Lifestyle</v>
      </c>
      <c r="D50" s="344">
        <f t="shared" si="11"/>
        <v>2.2422455139965582E-2</v>
      </c>
      <c r="E50" s="345">
        <f t="shared" si="11"/>
        <v>0</v>
      </c>
      <c r="F50" s="345">
        <f t="shared" si="11"/>
        <v>0.15702933217172541</v>
      </c>
      <c r="G50" s="345">
        <f t="shared" si="11"/>
        <v>0.21281580143550757</v>
      </c>
      <c r="H50" s="344">
        <f t="shared" si="11"/>
        <v>7.348545114300721E-2</v>
      </c>
      <c r="I50" s="345">
        <f t="shared" si="11"/>
        <v>0</v>
      </c>
      <c r="J50" s="345">
        <f t="shared" si="11"/>
        <v>0.11248251922059992</v>
      </c>
      <c r="K50" s="344">
        <f t="shared" si="11"/>
        <v>3.5177028504133893E-2</v>
      </c>
      <c r="L50" s="345">
        <f t="shared" si="11"/>
        <v>0</v>
      </c>
      <c r="M50" s="345">
        <f t="shared" si="11"/>
        <v>0.11182393662676274</v>
      </c>
      <c r="N50" s="345">
        <f t="shared" si="11"/>
        <v>0.27476347575829768</v>
      </c>
      <c r="O50" s="345">
        <f t="shared" si="12"/>
        <v>1</v>
      </c>
      <c r="P50" s="346">
        <f t="shared" si="13"/>
        <v>0.13108493478710667</v>
      </c>
    </row>
    <row r="51" spans="1:16">
      <c r="A51"/>
      <c r="B51"/>
      <c r="C51"/>
      <c r="D51"/>
      <c r="E51"/>
      <c r="F51"/>
    </row>
    <row r="52" spans="1:16">
      <c r="A52"/>
      <c r="B52"/>
      <c r="C52"/>
      <c r="D52"/>
      <c r="E52"/>
      <c r="F52"/>
    </row>
    <row r="53" spans="1:16">
      <c r="A53"/>
      <c r="B53"/>
      <c r="C53"/>
      <c r="D53"/>
      <c r="E53"/>
      <c r="F53"/>
    </row>
    <row r="54" spans="1:16">
      <c r="A54" s="106" t="s">
        <v>10</v>
      </c>
      <c r="B54" s="105" t="s">
        <v>573</v>
      </c>
      <c r="C54"/>
      <c r="D54"/>
      <c r="E54"/>
      <c r="F54"/>
    </row>
    <row r="55" spans="1:16">
      <c r="A55"/>
      <c r="B55"/>
      <c r="C55"/>
      <c r="D55"/>
      <c r="E55"/>
      <c r="F55"/>
    </row>
    <row r="56" spans="1:16">
      <c r="A56"/>
      <c r="B56" s="108" t="s">
        <v>58</v>
      </c>
      <c r="C56" s="108" t="s">
        <v>59</v>
      </c>
      <c r="D56" s="108" t="s">
        <v>60</v>
      </c>
      <c r="E56"/>
      <c r="F56"/>
    </row>
    <row r="57" spans="1:16" ht="25.5">
      <c r="A57" s="101" t="s">
        <v>61</v>
      </c>
      <c r="B57" s="102" t="s">
        <v>62</v>
      </c>
      <c r="C57" s="102" t="s">
        <v>63</v>
      </c>
      <c r="D57" s="102" t="s">
        <v>64</v>
      </c>
      <c r="E57" s="102" t="s">
        <v>65</v>
      </c>
      <c r="F57" s="102" t="s">
        <v>66</v>
      </c>
      <c r="G57" s="102" t="s">
        <v>67</v>
      </c>
      <c r="H57" s="102" t="s">
        <v>68</v>
      </c>
      <c r="I57" s="102" t="s">
        <v>69</v>
      </c>
    </row>
    <row r="58" spans="1:16">
      <c r="A58" s="103" t="s">
        <v>70</v>
      </c>
      <c r="B58" s="277">
        <f>SUMIF($B$70:$B$81,$A58,$F$70:$F$81)</f>
        <v>124747.9669</v>
      </c>
      <c r="C58" s="277">
        <f>SUMIF($B$86:$B$97,$A58,$F$86:$F$97)</f>
        <v>66724.99139999997</v>
      </c>
      <c r="D58" s="277">
        <f>SUMIF($B$102:$B$113,$A58,$F$102:$F$113)</f>
        <v>143827.92370000001</v>
      </c>
      <c r="E58" s="347">
        <f>SUM(B58:D58)</f>
        <v>335300.88199999998</v>
      </c>
      <c r="F58" s="348">
        <f>B58/$E58</f>
        <v>0.37204783404059166</v>
      </c>
      <c r="G58" s="348">
        <f t="shared" ref="G58:G61" si="14">C58/$E58</f>
        <v>0.19900034560600999</v>
      </c>
      <c r="H58" s="348">
        <f>D58/$E58</f>
        <v>0.42895182035339835</v>
      </c>
      <c r="I58" s="348">
        <f>E58/$E$62</f>
        <v>0.73188205862577738</v>
      </c>
    </row>
    <row r="59" spans="1:16">
      <c r="A59" s="103" t="s">
        <v>40</v>
      </c>
      <c r="B59" s="277">
        <f>SUMIF($B$70:$B$81,$A59,$F$70:$F$81)</f>
        <v>18227.903999999999</v>
      </c>
      <c r="C59" s="277">
        <f>SUMIF($B$86:$B$97,$A59,$F$86:$F$97)</f>
        <v>11059.454299999999</v>
      </c>
      <c r="D59" s="277">
        <f>SUMIF($B$102:$B$113,$A59,$F$102:$F$113)</f>
        <v>3035.2865999999999</v>
      </c>
      <c r="E59" s="347">
        <f t="shared" ref="E59:E61" si="15">SUM(B59:D59)</f>
        <v>32322.644899999999</v>
      </c>
      <c r="F59" s="348">
        <f>B59/$E59</f>
        <v>0.56393602863854742</v>
      </c>
      <c r="G59" s="348">
        <f t="shared" si="14"/>
        <v>0.34215808558414101</v>
      </c>
      <c r="H59" s="348">
        <f>D59/$E59</f>
        <v>9.3905885777311501E-2</v>
      </c>
      <c r="I59" s="348">
        <f>E59/$E$62</f>
        <v>7.0552644384758834E-2</v>
      </c>
    </row>
    <row r="60" spans="1:16">
      <c r="A60" s="103" t="s">
        <v>47</v>
      </c>
      <c r="B60" s="277">
        <f>SUMIF($B$70:$B$81,$A60,$F$70:$F$81)</f>
        <v>1682.8588999999999</v>
      </c>
      <c r="C60" s="277">
        <f>SUMIF($B$86:$B$97,$A60,$F$86:$F$97)</f>
        <v>301.68469999999996</v>
      </c>
      <c r="D60" s="277">
        <f>SUMIF($B$102:$B$113,$A60,$F$102:$F$113)</f>
        <v>165.92009999999999</v>
      </c>
      <c r="E60" s="347">
        <f>SUM(B60:D60)</f>
        <v>2150.4636999999998</v>
      </c>
      <c r="F60" s="348">
        <f>B60/$E60</f>
        <v>0.78255629239405444</v>
      </c>
      <c r="G60" s="348">
        <f t="shared" si="14"/>
        <v>0.14028820853846544</v>
      </c>
      <c r="H60" s="348">
        <f>D60/$E60</f>
        <v>7.715549906748019E-2</v>
      </c>
      <c r="I60" s="348">
        <f>E60/$E$62</f>
        <v>4.6939506701208326E-3</v>
      </c>
    </row>
    <row r="61" spans="1:16">
      <c r="A61" s="103" t="s">
        <v>29</v>
      </c>
      <c r="B61" s="277">
        <f>SUMIF($B$70:$B$81,$A61,$F$70:$F$81)</f>
        <v>22607.688300000002</v>
      </c>
      <c r="C61" s="277">
        <f>SUMIF($B$86:$B$97,$A61,$F$86:$F$97)</f>
        <v>13570.221300000001</v>
      </c>
      <c r="D61" s="277">
        <f>SUMIF($B$102:$B$113,$A61,$F$102:$F$113)</f>
        <v>52183.229700000004</v>
      </c>
      <c r="E61" s="347">
        <f t="shared" si="15"/>
        <v>88361.13930000001</v>
      </c>
      <c r="F61" s="348">
        <f>B61/$E61</f>
        <v>0.25585555459219844</v>
      </c>
      <c r="G61" s="348">
        <f t="shared" si="14"/>
        <v>0.15357680319090228</v>
      </c>
      <c r="H61" s="348">
        <f>D61/$E61</f>
        <v>0.59056764221689928</v>
      </c>
      <c r="I61" s="348">
        <f>E61/$E$62</f>
        <v>0.1928713463193428</v>
      </c>
    </row>
    <row r="62" spans="1:16">
      <c r="A62" s="199" t="s">
        <v>71</v>
      </c>
      <c r="B62" s="349">
        <f>SUM(B58:B61)</f>
        <v>167266.41810000001</v>
      </c>
      <c r="C62" s="349">
        <f t="shared" ref="C62:E62" si="16">SUM(C58:C61)</f>
        <v>91656.35169999997</v>
      </c>
      <c r="D62" s="349">
        <f t="shared" si="16"/>
        <v>199212.36009999999</v>
      </c>
      <c r="E62" s="349">
        <f t="shared" si="16"/>
        <v>458135.12990000006</v>
      </c>
      <c r="F62" s="350">
        <f>B62/$E62</f>
        <v>0.36510279867974821</v>
      </c>
      <c r="G62" s="350">
        <f>C62/$E62</f>
        <v>0.20006401107028479</v>
      </c>
      <c r="H62" s="350">
        <f>D62/$E62</f>
        <v>0.43483319024996681</v>
      </c>
      <c r="I62" s="350">
        <f>SUM(I58:I61)</f>
        <v>0.99999999999999978</v>
      </c>
    </row>
    <row r="63" spans="1:16">
      <c r="A63"/>
      <c r="B63"/>
      <c r="C63"/>
      <c r="D63"/>
      <c r="E63"/>
      <c r="F63"/>
    </row>
    <row r="64" spans="1:16">
      <c r="A64"/>
      <c r="B64"/>
      <c r="C64"/>
      <c r="D64"/>
      <c r="E64"/>
      <c r="F64"/>
    </row>
    <row r="65" spans="1:7">
      <c r="A65"/>
      <c r="B65"/>
      <c r="C65"/>
      <c r="D65"/>
      <c r="E65"/>
      <c r="F65"/>
    </row>
    <row r="66" spans="1:7">
      <c r="A66"/>
      <c r="B66"/>
      <c r="C66"/>
      <c r="D66"/>
      <c r="E66"/>
      <c r="F66"/>
    </row>
    <row r="67" spans="1:7">
      <c r="A67"/>
      <c r="B67"/>
      <c r="C67"/>
      <c r="D67"/>
      <c r="E67"/>
      <c r="F67"/>
    </row>
    <row r="68" spans="1:7">
      <c r="A68" s="99" t="s">
        <v>58</v>
      </c>
      <c r="B68" s="99"/>
      <c r="C68" s="99"/>
      <c r="D68" s="99"/>
      <c r="E68" s="99"/>
      <c r="F68" s="99"/>
    </row>
    <row r="69" spans="1:7">
      <c r="A69" s="98" t="s">
        <v>72</v>
      </c>
      <c r="B69" s="98" t="s">
        <v>73</v>
      </c>
      <c r="C69" s="98" t="s">
        <v>74</v>
      </c>
      <c r="D69" s="98" t="s">
        <v>75</v>
      </c>
      <c r="E69" s="98" t="s">
        <v>76</v>
      </c>
      <c r="F69" s="98" t="s">
        <v>77</v>
      </c>
      <c r="G69"/>
    </row>
    <row r="70" spans="1:7">
      <c r="A70" s="14" t="s">
        <v>78</v>
      </c>
      <c r="B70" s="14" t="s">
        <v>78</v>
      </c>
      <c r="C70" s="14">
        <v>195</v>
      </c>
      <c r="D70" s="21">
        <v>101294000</v>
      </c>
      <c r="E70" s="21">
        <v>222301000</v>
      </c>
      <c r="F70" s="104">
        <v>38.484099999999998</v>
      </c>
      <c r="G70"/>
    </row>
    <row r="71" spans="1:7">
      <c r="A71" s="14" t="s">
        <v>40</v>
      </c>
      <c r="B71" s="14" t="s">
        <v>40</v>
      </c>
      <c r="C71" s="14">
        <v>150</v>
      </c>
      <c r="D71" s="21">
        <v>561667000</v>
      </c>
      <c r="E71" s="21">
        <v>656805800</v>
      </c>
      <c r="F71" s="104">
        <v>18227.903999999999</v>
      </c>
    </row>
    <row r="72" spans="1:7">
      <c r="A72" s="14" t="s">
        <v>29</v>
      </c>
      <c r="B72" s="14" t="s">
        <v>29</v>
      </c>
      <c r="C72" s="14">
        <v>36</v>
      </c>
      <c r="D72" s="21">
        <v>80993000</v>
      </c>
      <c r="E72" s="21">
        <v>85016000</v>
      </c>
      <c r="F72" s="104">
        <v>22607.688300000002</v>
      </c>
    </row>
    <row r="73" spans="1:7">
      <c r="A73" s="14" t="s">
        <v>47</v>
      </c>
      <c r="B73" s="14" t="s">
        <v>47</v>
      </c>
      <c r="C73" s="14">
        <v>130</v>
      </c>
      <c r="D73" s="21">
        <v>171910000</v>
      </c>
      <c r="E73" s="21">
        <v>299804000</v>
      </c>
      <c r="F73" s="104">
        <v>1682.8588999999999</v>
      </c>
    </row>
    <row r="74" spans="1:7">
      <c r="A74" s="14" t="s">
        <v>79</v>
      </c>
      <c r="B74" s="14" t="s">
        <v>79</v>
      </c>
      <c r="C74" s="14">
        <v>119</v>
      </c>
      <c r="D74" s="21">
        <v>56080000</v>
      </c>
      <c r="E74" s="21">
        <v>86019000</v>
      </c>
      <c r="F74" s="104">
        <v>54.030099999999997</v>
      </c>
    </row>
    <row r="75" spans="1:7">
      <c r="A75" s="14" t="s">
        <v>53</v>
      </c>
      <c r="B75" s="14" t="s">
        <v>53</v>
      </c>
      <c r="C75" s="14">
        <v>1528</v>
      </c>
      <c r="D75" s="21">
        <v>777754000</v>
      </c>
      <c r="E75" s="21">
        <v>1622932400</v>
      </c>
      <c r="F75" s="104">
        <v>6220.1269000000002</v>
      </c>
    </row>
    <row r="76" spans="1:7">
      <c r="A76" s="14" t="s">
        <v>80</v>
      </c>
      <c r="B76" s="14" t="s">
        <v>50</v>
      </c>
      <c r="C76" s="14">
        <v>4</v>
      </c>
      <c r="D76" s="21">
        <v>782000</v>
      </c>
      <c r="E76" s="21">
        <v>1208000</v>
      </c>
      <c r="F76" s="104">
        <v>15.4297</v>
      </c>
    </row>
    <row r="77" spans="1:7">
      <c r="A77" s="14" t="s">
        <v>50</v>
      </c>
      <c r="B77" s="14" t="s">
        <v>50</v>
      </c>
      <c r="C77" s="14">
        <v>164</v>
      </c>
      <c r="D77" s="21">
        <v>81260500</v>
      </c>
      <c r="E77" s="21">
        <v>153647000</v>
      </c>
      <c r="F77" s="104">
        <v>743.3877</v>
      </c>
    </row>
    <row r="78" spans="1:7">
      <c r="A78" s="14" t="s">
        <v>81</v>
      </c>
      <c r="B78" s="14" t="s">
        <v>43</v>
      </c>
      <c r="C78" s="14">
        <v>472</v>
      </c>
      <c r="D78" s="21">
        <v>1406589500</v>
      </c>
      <c r="E78" s="21">
        <v>1621358200</v>
      </c>
      <c r="F78" s="104">
        <v>124747.9669</v>
      </c>
    </row>
    <row r="79" spans="1:7">
      <c r="A79" s="14" t="s">
        <v>82</v>
      </c>
      <c r="B79" s="14" t="s">
        <v>82</v>
      </c>
      <c r="C79" s="14">
        <v>4690</v>
      </c>
      <c r="D79" s="21">
        <v>1683876001</v>
      </c>
      <c r="E79" s="21">
        <v>3406797500</v>
      </c>
      <c r="F79" s="104">
        <v>758.84140000000002</v>
      </c>
    </row>
    <row r="80" spans="1:7">
      <c r="A80" s="14" t="s">
        <v>83</v>
      </c>
      <c r="B80" s="14" t="s">
        <v>50</v>
      </c>
      <c r="C80" s="14">
        <v>5</v>
      </c>
      <c r="D80" s="21">
        <v>6235000</v>
      </c>
      <c r="E80" s="21">
        <v>11680000</v>
      </c>
      <c r="F80" s="104">
        <v>174.17959999999999</v>
      </c>
    </row>
    <row r="81" spans="1:6">
      <c r="A81" s="14" t="s">
        <v>84</v>
      </c>
      <c r="B81" s="14" t="s">
        <v>50</v>
      </c>
      <c r="C81" s="14">
        <v>33</v>
      </c>
      <c r="D81" s="21">
        <v>4502000</v>
      </c>
      <c r="E81" s="21">
        <v>124226750</v>
      </c>
      <c r="F81" s="104">
        <v>1931.1114</v>
      </c>
    </row>
    <row r="82" spans="1:6">
      <c r="A82" s="199" t="s">
        <v>71</v>
      </c>
      <c r="B82" s="199"/>
      <c r="C82" s="351">
        <f>SUM(C70:C81)</f>
        <v>7526</v>
      </c>
      <c r="D82" s="351">
        <f>SUM(D70:D81)</f>
        <v>4932943001</v>
      </c>
      <c r="E82" s="351">
        <f t="shared" ref="E82:F82" si="17">SUM(E70:E81)</f>
        <v>8291795650</v>
      </c>
      <c r="F82" s="351">
        <f t="shared" si="17"/>
        <v>177202.00900000002</v>
      </c>
    </row>
    <row r="84" spans="1:6" hidden="1">
      <c r="A84" s="99" t="s">
        <v>59</v>
      </c>
      <c r="B84" s="99"/>
      <c r="C84" s="99"/>
      <c r="D84" s="99"/>
      <c r="E84" s="99"/>
      <c r="F84" s="99"/>
    </row>
    <row r="85" spans="1:6" hidden="1">
      <c r="A85" s="98" t="s">
        <v>72</v>
      </c>
      <c r="B85" s="98" t="s">
        <v>73</v>
      </c>
      <c r="C85" s="98" t="s">
        <v>74</v>
      </c>
      <c r="D85" s="98" t="s">
        <v>75</v>
      </c>
      <c r="E85" s="98" t="s">
        <v>76</v>
      </c>
      <c r="F85" s="98" t="s">
        <v>77</v>
      </c>
    </row>
    <row r="86" spans="1:6" hidden="1">
      <c r="A86" s="14" t="s">
        <v>78</v>
      </c>
      <c r="B86" s="14" t="s">
        <v>78</v>
      </c>
      <c r="C86" s="14">
        <v>120</v>
      </c>
      <c r="D86" s="21">
        <v>29984500</v>
      </c>
      <c r="E86" s="21">
        <v>69565500</v>
      </c>
      <c r="F86" s="104">
        <v>19.545599999999986</v>
      </c>
    </row>
    <row r="87" spans="1:6" hidden="1">
      <c r="A87" s="14" t="s">
        <v>40</v>
      </c>
      <c r="B87" s="14" t="s">
        <v>40</v>
      </c>
      <c r="C87" s="14">
        <v>113</v>
      </c>
      <c r="D87" s="21">
        <v>339047000</v>
      </c>
      <c r="E87" s="21">
        <v>401835000</v>
      </c>
      <c r="F87" s="104">
        <v>11059.454299999999</v>
      </c>
    </row>
    <row r="88" spans="1:6" hidden="1">
      <c r="A88" s="14" t="s">
        <v>29</v>
      </c>
      <c r="B88" s="14" t="s">
        <v>29</v>
      </c>
      <c r="C88" s="14">
        <v>41</v>
      </c>
      <c r="D88" s="21">
        <v>42103500</v>
      </c>
      <c r="E88" s="21">
        <v>44743500</v>
      </c>
      <c r="F88" s="104">
        <v>13570.221300000001</v>
      </c>
    </row>
    <row r="89" spans="1:6" hidden="1">
      <c r="A89" s="14" t="s">
        <v>47</v>
      </c>
      <c r="B89" s="14" t="s">
        <v>47</v>
      </c>
      <c r="C89" s="14">
        <v>22</v>
      </c>
      <c r="D89" s="21">
        <v>19595000</v>
      </c>
      <c r="E89" s="21">
        <v>41564000</v>
      </c>
      <c r="F89" s="104">
        <v>301.68469999999996</v>
      </c>
    </row>
    <row r="90" spans="1:6" hidden="1">
      <c r="A90" s="14" t="s">
        <v>79</v>
      </c>
      <c r="B90" s="14" t="s">
        <v>79</v>
      </c>
      <c r="C90" s="14">
        <v>138</v>
      </c>
      <c r="D90" s="21">
        <v>73761000</v>
      </c>
      <c r="E90" s="21">
        <v>155765000</v>
      </c>
      <c r="F90" s="104">
        <v>233.30870000000004</v>
      </c>
    </row>
    <row r="91" spans="1:6" hidden="1">
      <c r="A91" s="14" t="s">
        <v>53</v>
      </c>
      <c r="B91" s="14" t="s">
        <v>53</v>
      </c>
      <c r="C91" s="14">
        <v>1460</v>
      </c>
      <c r="D91" s="21">
        <v>566038000</v>
      </c>
      <c r="E91" s="21">
        <v>1246071000</v>
      </c>
      <c r="F91" s="104">
        <v>6445.0691999999954</v>
      </c>
    </row>
    <row r="92" spans="1:6" hidden="1">
      <c r="A92" s="14" t="s">
        <v>80</v>
      </c>
      <c r="B92" s="14" t="s">
        <v>50</v>
      </c>
      <c r="C92" s="14">
        <v>3</v>
      </c>
      <c r="D92" s="21">
        <v>1817000</v>
      </c>
      <c r="E92" s="21">
        <v>1889000</v>
      </c>
      <c r="F92" s="104">
        <v>32.765599999999999</v>
      </c>
    </row>
    <row r="93" spans="1:6" hidden="1">
      <c r="A93" s="14" t="s">
        <v>50</v>
      </c>
      <c r="B93" s="14" t="s">
        <v>50</v>
      </c>
      <c r="C93" s="14">
        <v>187</v>
      </c>
      <c r="D93" s="21">
        <v>56545900</v>
      </c>
      <c r="E93" s="21">
        <v>108956300</v>
      </c>
      <c r="F93" s="104">
        <v>26471.404900000023</v>
      </c>
    </row>
    <row r="94" spans="1:6" hidden="1">
      <c r="A94" s="14" t="s">
        <v>81</v>
      </c>
      <c r="B94" s="14" t="s">
        <v>43</v>
      </c>
      <c r="C94" s="14">
        <v>320</v>
      </c>
      <c r="D94" s="21">
        <v>745606000</v>
      </c>
      <c r="E94" s="21">
        <v>872299800</v>
      </c>
      <c r="F94" s="104">
        <v>66724.99139999997</v>
      </c>
    </row>
    <row r="95" spans="1:6" hidden="1">
      <c r="A95" s="14" t="s">
        <v>82</v>
      </c>
      <c r="B95" s="14" t="s">
        <v>82</v>
      </c>
      <c r="C95" s="14">
        <v>3158</v>
      </c>
      <c r="D95" s="21">
        <v>827573000</v>
      </c>
      <c r="E95" s="21">
        <v>1868259500</v>
      </c>
      <c r="F95" s="104">
        <v>498.34820000000167</v>
      </c>
    </row>
    <row r="96" spans="1:6" hidden="1">
      <c r="A96" s="14" t="s">
        <v>83</v>
      </c>
      <c r="B96" s="14" t="s">
        <v>50</v>
      </c>
      <c r="C96" s="14">
        <v>14</v>
      </c>
      <c r="D96" s="21">
        <v>12395000</v>
      </c>
      <c r="E96" s="21">
        <v>18649000</v>
      </c>
      <c r="F96" s="104">
        <v>379.57990000000001</v>
      </c>
    </row>
    <row r="97" spans="1:6" hidden="1">
      <c r="A97" s="14" t="s">
        <v>84</v>
      </c>
      <c r="B97" s="14" t="s">
        <v>50</v>
      </c>
      <c r="C97" s="14">
        <v>37</v>
      </c>
      <c r="D97" s="21">
        <v>7555500</v>
      </c>
      <c r="E97" s="21">
        <v>82369500</v>
      </c>
      <c r="F97" s="104">
        <v>70.694299999999998</v>
      </c>
    </row>
    <row r="98" spans="1:6" hidden="1">
      <c r="A98" s="199" t="s">
        <v>71</v>
      </c>
      <c r="B98" s="199"/>
      <c r="C98" s="351">
        <f>SUM(C86:C97)</f>
        <v>5613</v>
      </c>
      <c r="D98" s="351">
        <f>SUM(D86:D97)</f>
        <v>2722021400</v>
      </c>
      <c r="E98" s="351">
        <f t="shared" ref="E98:F98" si="18">SUM(E86:E97)</f>
        <v>4911967100</v>
      </c>
      <c r="F98" s="351">
        <f t="shared" si="18"/>
        <v>125807.06809999999</v>
      </c>
    </row>
    <row r="99" spans="1:6" hidden="1"/>
    <row r="100" spans="1:6" hidden="1">
      <c r="A100" s="99" t="s">
        <v>60</v>
      </c>
      <c r="B100" s="99"/>
      <c r="C100" s="99"/>
      <c r="D100" s="99"/>
      <c r="E100" s="99"/>
      <c r="F100" s="99"/>
    </row>
    <row r="101" spans="1:6" hidden="1">
      <c r="A101" s="98" t="s">
        <v>72</v>
      </c>
      <c r="B101" s="98" t="s">
        <v>73</v>
      </c>
      <c r="C101" s="98" t="s">
        <v>74</v>
      </c>
      <c r="D101" s="98" t="s">
        <v>75</v>
      </c>
      <c r="E101" s="98" t="s">
        <v>76</v>
      </c>
      <c r="F101" s="98" t="s">
        <v>77</v>
      </c>
    </row>
    <row r="102" spans="1:6" hidden="1">
      <c r="A102" s="14" t="s">
        <v>78</v>
      </c>
      <c r="B102" s="14" t="s">
        <v>78</v>
      </c>
      <c r="C102" s="14">
        <v>373</v>
      </c>
      <c r="D102" s="21">
        <v>255065000</v>
      </c>
      <c r="E102" s="21">
        <v>579454000</v>
      </c>
      <c r="F102" s="104">
        <v>79.648200000000003</v>
      </c>
    </row>
    <row r="103" spans="1:6" hidden="1">
      <c r="A103" s="14" t="s">
        <v>40</v>
      </c>
      <c r="B103" s="14" t="s">
        <v>40</v>
      </c>
      <c r="C103" s="14">
        <v>28</v>
      </c>
      <c r="D103" s="21">
        <v>103156000</v>
      </c>
      <c r="E103" s="21">
        <v>123145000</v>
      </c>
      <c r="F103" s="104">
        <v>3035.2865999999999</v>
      </c>
    </row>
    <row r="104" spans="1:6" hidden="1">
      <c r="A104" s="14" t="s">
        <v>29</v>
      </c>
      <c r="B104" s="14" t="s">
        <v>29</v>
      </c>
      <c r="C104" s="14">
        <v>211</v>
      </c>
      <c r="D104" s="21">
        <v>233809000</v>
      </c>
      <c r="E104" s="21">
        <v>250455800</v>
      </c>
      <c r="F104" s="104">
        <v>52183.229700000004</v>
      </c>
    </row>
    <row r="105" spans="1:6" hidden="1">
      <c r="A105" s="14" t="s">
        <v>47</v>
      </c>
      <c r="B105" s="14" t="s">
        <v>47</v>
      </c>
      <c r="C105" s="14">
        <v>11</v>
      </c>
      <c r="D105" s="21">
        <v>10970000</v>
      </c>
      <c r="E105" s="21">
        <v>21730000</v>
      </c>
      <c r="F105" s="104">
        <v>165.92009999999999</v>
      </c>
    </row>
    <row r="106" spans="1:6" hidden="1">
      <c r="A106" s="14" t="s">
        <v>79</v>
      </c>
      <c r="B106" s="14" t="s">
        <v>79</v>
      </c>
      <c r="C106" s="14">
        <v>271</v>
      </c>
      <c r="D106" s="21">
        <v>139143000</v>
      </c>
      <c r="E106" s="21">
        <v>277545000</v>
      </c>
      <c r="F106" s="104">
        <v>129.81460000000001</v>
      </c>
    </row>
    <row r="107" spans="1:6" hidden="1">
      <c r="A107" s="14" t="s">
        <v>53</v>
      </c>
      <c r="B107" s="14" t="s">
        <v>53</v>
      </c>
      <c r="C107" s="14">
        <v>2079</v>
      </c>
      <c r="D107" s="21">
        <v>900307000</v>
      </c>
      <c r="E107" s="21">
        <v>1863234000</v>
      </c>
      <c r="F107" s="104">
        <v>7851.0542999999998</v>
      </c>
    </row>
    <row r="108" spans="1:6" hidden="1">
      <c r="A108" s="14" t="s">
        <v>80</v>
      </c>
      <c r="B108" s="14" t="s">
        <v>50</v>
      </c>
      <c r="C108" s="14">
        <v>6</v>
      </c>
      <c r="D108" s="21">
        <v>3080000</v>
      </c>
      <c r="E108" s="21">
        <v>4125000</v>
      </c>
      <c r="F108" s="104">
        <v>74.176400000000001</v>
      </c>
    </row>
    <row r="109" spans="1:6" hidden="1">
      <c r="A109" s="14" t="s">
        <v>50</v>
      </c>
      <c r="B109" s="14" t="s">
        <v>50</v>
      </c>
      <c r="C109" s="14">
        <v>536</v>
      </c>
      <c r="D109" s="21">
        <v>179910400</v>
      </c>
      <c r="E109" s="21">
        <v>444603700</v>
      </c>
      <c r="F109" s="104">
        <v>16832.014599999999</v>
      </c>
    </row>
    <row r="110" spans="1:6" hidden="1">
      <c r="A110" s="14" t="s">
        <v>81</v>
      </c>
      <c r="B110" s="14" t="s">
        <v>43</v>
      </c>
      <c r="C110" s="14">
        <v>563</v>
      </c>
      <c r="D110" s="21">
        <v>1589969000</v>
      </c>
      <c r="E110" s="21">
        <v>1873932600</v>
      </c>
      <c r="F110" s="104">
        <v>143827.92370000001</v>
      </c>
    </row>
    <row r="111" spans="1:6" hidden="1">
      <c r="A111" s="14" t="s">
        <v>82</v>
      </c>
      <c r="B111" s="14" t="s">
        <v>82</v>
      </c>
      <c r="C111" s="14">
        <v>9987</v>
      </c>
      <c r="D111" s="21">
        <v>2525160000</v>
      </c>
      <c r="E111" s="21">
        <v>5526485600</v>
      </c>
      <c r="F111" s="104">
        <v>1178.6315999999999</v>
      </c>
    </row>
    <row r="112" spans="1:6" hidden="1">
      <c r="A112" s="14" t="s">
        <v>83</v>
      </c>
      <c r="B112" s="14" t="s">
        <v>50</v>
      </c>
      <c r="C112" s="14">
        <v>8</v>
      </c>
      <c r="D112" s="21">
        <v>14880000</v>
      </c>
      <c r="E112" s="21">
        <v>30845000</v>
      </c>
      <c r="F112" s="104">
        <v>697.19010000000003</v>
      </c>
    </row>
    <row r="113" spans="1:6" hidden="1">
      <c r="A113" s="14" t="s">
        <v>84</v>
      </c>
      <c r="B113" s="14" t="s">
        <v>50</v>
      </c>
      <c r="C113" s="14">
        <v>73</v>
      </c>
      <c r="D113" s="21">
        <v>22370000</v>
      </c>
      <c r="E113" s="21">
        <v>255804500</v>
      </c>
      <c r="F113" s="104">
        <v>385.74</v>
      </c>
    </row>
    <row r="114" spans="1:6" hidden="1">
      <c r="A114" s="199" t="s">
        <v>71</v>
      </c>
      <c r="B114" s="199"/>
      <c r="C114" s="351">
        <f>SUM(C102:C113)</f>
        <v>14146</v>
      </c>
      <c r="D114" s="351">
        <f t="shared" ref="D114:F114" si="19">SUM(D102:D113)</f>
        <v>5977819400</v>
      </c>
      <c r="E114" s="351">
        <f t="shared" si="19"/>
        <v>11251360200</v>
      </c>
      <c r="F114" s="351">
        <f t="shared" si="19"/>
        <v>226440.6299</v>
      </c>
    </row>
    <row r="115" spans="1:6" hidden="1"/>
    <row r="116" spans="1:6" hidden="1"/>
  </sheetData>
  <sheetProtection algorithmName="SHA-512" hashValue="qex9psI3EUM4OTYxNQzTcPLVu15d2gF2BONxLHQtTkK2ZOXLWwHlmTVkRSQKCWhiZCwljBMOFuoITo2b100M6A==" saltValue="VVNY34RK+Dh7ENlyeiequw==" spinCount="100000" sheet="1" objects="1" scenarios="1"/>
  <phoneticPr fontId="58" type="noConversion"/>
  <pageMargins left="0.70866141732283472" right="0.70866141732283472" top="0.74803149606299213" bottom="0.74803149606299213" header="0.31496062992125984" footer="0.31496062992125984"/>
  <pageSetup paperSize="9" scale="21"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P71"/>
  <sheetViews>
    <sheetView zoomScale="60" zoomScaleNormal="60" workbookViewId="0">
      <selection activeCell="D15" sqref="D15"/>
    </sheetView>
  </sheetViews>
  <sheetFormatPr defaultRowHeight="12.75"/>
  <cols>
    <col min="1" max="1" width="69.28515625" customWidth="1"/>
    <col min="2" max="3" width="24.7109375" customWidth="1"/>
    <col min="4" max="4" width="14.7109375" customWidth="1"/>
    <col min="5" max="5" width="23.42578125" customWidth="1"/>
    <col min="6" max="6" width="18" customWidth="1"/>
    <col min="7" max="7" width="17.42578125" customWidth="1"/>
    <col min="8" max="8" width="21.140625" customWidth="1"/>
    <col min="9" max="9" width="16" customWidth="1"/>
    <col min="10" max="10" width="18" customWidth="1"/>
    <col min="11" max="11" width="4.140625" customWidth="1"/>
    <col min="12" max="12" width="37.5703125" customWidth="1"/>
    <col min="13" max="13" width="14.28515625" customWidth="1"/>
    <col min="14" max="14" width="13.85546875" customWidth="1"/>
    <col min="15" max="15" width="15.140625" customWidth="1"/>
    <col min="16" max="16" width="17.7109375" customWidth="1"/>
  </cols>
  <sheetData>
    <row r="1" spans="1:16" ht="20.25">
      <c r="A1" s="167" t="s">
        <v>85</v>
      </c>
      <c r="B1" s="167"/>
      <c r="C1" s="167"/>
      <c r="D1" s="167"/>
      <c r="E1" s="167"/>
      <c r="F1" s="167"/>
      <c r="G1" s="167"/>
      <c r="H1" s="167"/>
    </row>
    <row r="2" spans="1:16" ht="60" customHeight="1">
      <c r="A2" s="4" t="s">
        <v>566</v>
      </c>
      <c r="B2" s="2"/>
      <c r="C2" s="2"/>
      <c r="J2" t="s">
        <v>86</v>
      </c>
    </row>
    <row r="7" spans="1:16" ht="26.25">
      <c r="A7" s="112" t="s">
        <v>87</v>
      </c>
      <c r="B7" s="99"/>
      <c r="C7" s="99"/>
      <c r="D7" s="99"/>
      <c r="E7" s="99"/>
      <c r="F7" s="99"/>
      <c r="G7" s="99"/>
      <c r="H7" s="99"/>
      <c r="I7" s="99"/>
      <c r="J7" s="99"/>
      <c r="K7" s="99"/>
      <c r="L7" s="99"/>
    </row>
    <row r="10" spans="1:16">
      <c r="A10" s="99" t="s">
        <v>58</v>
      </c>
      <c r="B10" s="99"/>
      <c r="C10" s="99"/>
      <c r="D10" s="99"/>
      <c r="E10" s="99"/>
      <c r="F10" s="99"/>
      <c r="G10" s="99"/>
      <c r="H10" s="99"/>
      <c r="I10" s="99"/>
      <c r="J10" s="99"/>
      <c r="K10" s="99"/>
      <c r="L10" s="99"/>
      <c r="M10" s="99"/>
      <c r="N10" s="99"/>
      <c r="O10" s="99"/>
      <c r="P10" s="99"/>
    </row>
    <row r="11" spans="1:16" ht="38.25">
      <c r="A11" s="94" t="s">
        <v>88</v>
      </c>
      <c r="B11" s="94" t="s">
        <v>89</v>
      </c>
      <c r="C11" s="94" t="s">
        <v>90</v>
      </c>
      <c r="D11" s="94" t="s">
        <v>91</v>
      </c>
      <c r="E11" s="94" t="s">
        <v>92</v>
      </c>
      <c r="F11" s="95" t="s">
        <v>93</v>
      </c>
      <c r="G11" s="95" t="s">
        <v>94</v>
      </c>
      <c r="H11" s="95" t="s">
        <v>95</v>
      </c>
      <c r="I11" s="95" t="s">
        <v>96</v>
      </c>
      <c r="J11" s="93" t="s">
        <v>97</v>
      </c>
      <c r="K11" s="13"/>
      <c r="L11" s="138" t="s">
        <v>98</v>
      </c>
      <c r="M11" s="138" t="s">
        <v>99</v>
      </c>
      <c r="N11" s="138" t="s">
        <v>100</v>
      </c>
      <c r="O11" s="93" t="s">
        <v>101</v>
      </c>
      <c r="P11" s="93" t="s">
        <v>102</v>
      </c>
    </row>
    <row r="12" spans="1:16" ht="15">
      <c r="A12" s="97" t="s">
        <v>103</v>
      </c>
      <c r="B12" s="14">
        <v>111</v>
      </c>
      <c r="C12" s="221">
        <v>846334</v>
      </c>
      <c r="D12" s="278">
        <f>E12*C12</f>
        <v>431630.34</v>
      </c>
      <c r="E12" s="134">
        <v>0.51</v>
      </c>
      <c r="F12" s="278">
        <f>C12-D12</f>
        <v>414703.66</v>
      </c>
      <c r="G12" s="135">
        <v>0.93</v>
      </c>
      <c r="H12" s="135">
        <v>7.0000000000000007E-2</v>
      </c>
      <c r="I12" s="323">
        <f>G12*F12</f>
        <v>385674.40379999997</v>
      </c>
      <c r="J12" s="324">
        <f>H12*F12</f>
        <v>29029.2562</v>
      </c>
      <c r="K12" s="14"/>
      <c r="L12" s="19" t="s">
        <v>104</v>
      </c>
      <c r="M12" s="326">
        <f>$E$50</f>
        <v>0.81401617250673852</v>
      </c>
      <c r="N12" s="326">
        <f>$E$52</f>
        <v>0.18598382749326145</v>
      </c>
      <c r="O12" s="324">
        <f t="shared" ref="O12:O27" si="0">I12*M12</f>
        <v>313945.20201509428</v>
      </c>
      <c r="P12" s="324">
        <f t="shared" ref="P12:P27" si="1">N12*I12</f>
        <v>71729.201784905657</v>
      </c>
    </row>
    <row r="13" spans="1:16" ht="15">
      <c r="A13" s="110" t="s">
        <v>105</v>
      </c>
      <c r="B13" s="16">
        <v>112</v>
      </c>
      <c r="C13" s="221">
        <v>534469</v>
      </c>
      <c r="D13" s="278">
        <f t="shared" ref="D13:D27" si="2">E13*C13</f>
        <v>272579.19</v>
      </c>
      <c r="E13" s="134">
        <v>0.51</v>
      </c>
      <c r="F13" s="278">
        <f t="shared" ref="F13:F26" si="3">C13-D13</f>
        <v>261889.81</v>
      </c>
      <c r="G13" s="135">
        <v>0.93</v>
      </c>
      <c r="H13" s="135">
        <v>7.0000000000000007E-2</v>
      </c>
      <c r="I13" s="323">
        <f>G13*F13</f>
        <v>243557.5233</v>
      </c>
      <c r="J13" s="324">
        <f t="shared" ref="J13:J27" si="4">H13*F13</f>
        <v>18332.286700000001</v>
      </c>
      <c r="K13" s="14"/>
      <c r="L13" s="19" t="s">
        <v>106</v>
      </c>
      <c r="M13" s="326">
        <f>$D$49</f>
        <v>0.99744245524296671</v>
      </c>
      <c r="N13" s="326">
        <f>$D$51</f>
        <v>2.5575447570332483E-3</v>
      </c>
      <c r="O13" s="324">
        <f t="shared" si="0"/>
        <v>242934.61403324807</v>
      </c>
      <c r="P13" s="324">
        <f t="shared" si="1"/>
        <v>622.90926675191827</v>
      </c>
    </row>
    <row r="14" spans="1:16" ht="26.25">
      <c r="A14" s="110" t="s">
        <v>107</v>
      </c>
      <c r="B14" s="16">
        <v>113</v>
      </c>
      <c r="C14" s="221">
        <v>468911</v>
      </c>
      <c r="D14" s="278">
        <f t="shared" si="2"/>
        <v>239144.61000000002</v>
      </c>
      <c r="E14" s="134">
        <v>0.51</v>
      </c>
      <c r="F14" s="278">
        <f t="shared" si="3"/>
        <v>229766.38999999998</v>
      </c>
      <c r="G14" s="135">
        <v>6.8635796477509267E-2</v>
      </c>
      <c r="H14" s="135">
        <v>0.93136420352249072</v>
      </c>
      <c r="I14" s="323">
        <f t="shared" ref="I14:I27" si="5">G14*F14</f>
        <v>15770.199181412019</v>
      </c>
      <c r="J14" s="324">
        <f t="shared" si="4"/>
        <v>213996.19081858796</v>
      </c>
      <c r="K14" s="14"/>
      <c r="L14" s="19" t="s">
        <v>108</v>
      </c>
      <c r="M14" s="326">
        <f>$C$60</f>
        <v>0.87731685789938219</v>
      </c>
      <c r="N14" s="326">
        <f>$C$61</f>
        <v>0.12268314210061783</v>
      </c>
      <c r="O14" s="324">
        <f t="shared" si="0"/>
        <v>13835.461594283801</v>
      </c>
      <c r="P14" s="324">
        <f t="shared" si="1"/>
        <v>1934.7375871282177</v>
      </c>
    </row>
    <row r="15" spans="1:16" ht="26.25">
      <c r="A15" s="110" t="s">
        <v>109</v>
      </c>
      <c r="B15" s="16">
        <v>114</v>
      </c>
      <c r="C15" s="221">
        <v>335381</v>
      </c>
      <c r="D15" s="278">
        <f t="shared" si="2"/>
        <v>171044.31</v>
      </c>
      <c r="E15" s="134">
        <v>0.51</v>
      </c>
      <c r="F15" s="278">
        <f t="shared" si="3"/>
        <v>164336.69</v>
      </c>
      <c r="G15" s="135">
        <v>0.4</v>
      </c>
      <c r="H15" s="135">
        <v>0.6</v>
      </c>
      <c r="I15" s="323">
        <f t="shared" si="5"/>
        <v>65734.676000000007</v>
      </c>
      <c r="J15" s="324">
        <f t="shared" si="4"/>
        <v>98602.013999999996</v>
      </c>
      <c r="K15" s="14"/>
      <c r="L15" s="19" t="s">
        <v>108</v>
      </c>
      <c r="M15" s="326">
        <f>$C$60</f>
        <v>0.87731685789938219</v>
      </c>
      <c r="N15" s="326">
        <f>$C$61</f>
        <v>0.12268314210061783</v>
      </c>
      <c r="O15" s="324">
        <f t="shared" si="0"/>
        <v>57670.139403353933</v>
      </c>
      <c r="P15" s="324">
        <f t="shared" si="1"/>
        <v>8064.5365966460731</v>
      </c>
    </row>
    <row r="16" spans="1:16" ht="26.25">
      <c r="A16" s="110" t="s">
        <v>110</v>
      </c>
      <c r="B16" s="16">
        <v>121</v>
      </c>
      <c r="C16" s="221">
        <v>310955</v>
      </c>
      <c r="D16" s="278">
        <f t="shared" si="2"/>
        <v>158587.04999999999</v>
      </c>
      <c r="E16" s="134">
        <v>0.51</v>
      </c>
      <c r="F16" s="278">
        <f t="shared" si="3"/>
        <v>152367.95000000001</v>
      </c>
      <c r="G16" s="135">
        <v>0.1</v>
      </c>
      <c r="H16" s="135">
        <v>0.9</v>
      </c>
      <c r="I16" s="323">
        <f t="shared" si="5"/>
        <v>15236.795000000002</v>
      </c>
      <c r="J16" s="324">
        <f t="shared" si="4"/>
        <v>137131.15500000003</v>
      </c>
      <c r="K16" s="14"/>
      <c r="L16" s="19" t="s">
        <v>111</v>
      </c>
      <c r="M16" s="135">
        <v>1</v>
      </c>
      <c r="N16" s="135">
        <v>0</v>
      </c>
      <c r="O16" s="324">
        <f t="shared" si="0"/>
        <v>15236.795000000002</v>
      </c>
      <c r="P16" s="324">
        <f t="shared" si="1"/>
        <v>0</v>
      </c>
    </row>
    <row r="17" spans="1:16" ht="15">
      <c r="A17" s="110" t="s">
        <v>112</v>
      </c>
      <c r="B17" s="16">
        <v>122</v>
      </c>
      <c r="C17" s="221">
        <v>519940</v>
      </c>
      <c r="D17" s="278">
        <f t="shared" si="2"/>
        <v>265169.40000000002</v>
      </c>
      <c r="E17" s="134">
        <v>0.51</v>
      </c>
      <c r="F17" s="278">
        <f t="shared" si="3"/>
        <v>254770.59999999998</v>
      </c>
      <c r="G17" s="135">
        <v>0</v>
      </c>
      <c r="H17" s="135">
        <v>1</v>
      </c>
      <c r="I17" s="323">
        <f t="shared" si="5"/>
        <v>0</v>
      </c>
      <c r="J17" s="324">
        <f t="shared" si="4"/>
        <v>254770.59999999998</v>
      </c>
      <c r="K17" s="14"/>
      <c r="L17" s="16"/>
      <c r="M17" s="18"/>
      <c r="N17" s="18"/>
      <c r="O17" s="324">
        <f t="shared" si="0"/>
        <v>0</v>
      </c>
      <c r="P17" s="324">
        <f t="shared" si="1"/>
        <v>0</v>
      </c>
    </row>
    <row r="18" spans="1:16" ht="15">
      <c r="A18" s="110" t="s">
        <v>113</v>
      </c>
      <c r="B18" s="16">
        <v>124</v>
      </c>
      <c r="C18" s="221">
        <v>1869</v>
      </c>
      <c r="D18" s="278">
        <f t="shared" si="2"/>
        <v>953.19</v>
      </c>
      <c r="E18" s="134">
        <v>0.51</v>
      </c>
      <c r="F18" s="278">
        <f t="shared" si="3"/>
        <v>915.81</v>
      </c>
      <c r="G18" s="135">
        <v>0</v>
      </c>
      <c r="H18" s="135">
        <v>1</v>
      </c>
      <c r="I18" s="323">
        <f t="shared" si="5"/>
        <v>0</v>
      </c>
      <c r="J18" s="324">
        <f t="shared" si="4"/>
        <v>915.81</v>
      </c>
      <c r="K18" s="14"/>
      <c r="L18" s="16"/>
      <c r="M18" s="18"/>
      <c r="N18" s="18"/>
      <c r="O18" s="20"/>
      <c r="P18" s="20"/>
    </row>
    <row r="19" spans="1:16" ht="15">
      <c r="A19" s="110" t="s">
        <v>114</v>
      </c>
      <c r="B19" s="16">
        <v>125</v>
      </c>
      <c r="C19" s="221">
        <v>24093</v>
      </c>
      <c r="D19" s="278">
        <f t="shared" si="2"/>
        <v>12287.43</v>
      </c>
      <c r="E19" s="134">
        <v>0.51</v>
      </c>
      <c r="F19" s="278">
        <f t="shared" si="3"/>
        <v>11805.57</v>
      </c>
      <c r="G19" s="135">
        <v>0</v>
      </c>
      <c r="H19" s="135">
        <v>1</v>
      </c>
      <c r="I19" s="323">
        <f t="shared" si="5"/>
        <v>0</v>
      </c>
      <c r="J19" s="324">
        <f t="shared" si="4"/>
        <v>11805.57</v>
      </c>
      <c r="K19" s="14"/>
      <c r="L19" s="16"/>
      <c r="M19" s="18"/>
      <c r="N19" s="18"/>
      <c r="O19" s="324">
        <f t="shared" si="0"/>
        <v>0</v>
      </c>
      <c r="P19" s="324">
        <f t="shared" si="1"/>
        <v>0</v>
      </c>
    </row>
    <row r="20" spans="1:16" ht="15">
      <c r="A20" s="110" t="s">
        <v>115</v>
      </c>
      <c r="B20" s="16">
        <v>131</v>
      </c>
      <c r="C20" s="221">
        <v>21484</v>
      </c>
      <c r="D20" s="278">
        <f t="shared" si="2"/>
        <v>10956.84</v>
      </c>
      <c r="E20" s="134">
        <v>0.51</v>
      </c>
      <c r="F20" s="278">
        <f t="shared" si="3"/>
        <v>10527.16</v>
      </c>
      <c r="G20" s="135">
        <v>0</v>
      </c>
      <c r="H20" s="135">
        <v>1</v>
      </c>
      <c r="I20" s="323">
        <f t="shared" si="5"/>
        <v>0</v>
      </c>
      <c r="J20" s="324">
        <f t="shared" si="4"/>
        <v>10527.16</v>
      </c>
      <c r="K20" s="14"/>
      <c r="L20" s="16"/>
      <c r="M20" s="18"/>
      <c r="N20" s="18"/>
      <c r="O20" s="324">
        <f t="shared" si="0"/>
        <v>0</v>
      </c>
      <c r="P20" s="324">
        <f t="shared" si="1"/>
        <v>0</v>
      </c>
    </row>
    <row r="21" spans="1:16" ht="15">
      <c r="A21" s="110" t="s">
        <v>116</v>
      </c>
      <c r="B21" s="16">
        <v>140</v>
      </c>
      <c r="C21" s="221">
        <v>369358</v>
      </c>
      <c r="D21" s="278">
        <f t="shared" si="2"/>
        <v>188372.58000000002</v>
      </c>
      <c r="E21" s="134">
        <v>0.51</v>
      </c>
      <c r="F21" s="278">
        <f t="shared" si="3"/>
        <v>180985.41999999998</v>
      </c>
      <c r="G21" s="135">
        <v>0</v>
      </c>
      <c r="H21" s="135">
        <v>1</v>
      </c>
      <c r="I21" s="323">
        <f t="shared" si="5"/>
        <v>0</v>
      </c>
      <c r="J21" s="324">
        <f t="shared" si="4"/>
        <v>180985.41999999998</v>
      </c>
      <c r="K21" s="14"/>
      <c r="L21" s="16"/>
      <c r="M21" s="18"/>
      <c r="N21" s="18"/>
      <c r="O21" s="324">
        <f t="shared" si="0"/>
        <v>0</v>
      </c>
      <c r="P21" s="324">
        <f t="shared" si="1"/>
        <v>0</v>
      </c>
    </row>
    <row r="22" spans="1:16" ht="15">
      <c r="A22" s="110" t="s">
        <v>117</v>
      </c>
      <c r="B22" s="16">
        <v>141</v>
      </c>
      <c r="C22" s="221">
        <v>0</v>
      </c>
      <c r="D22" s="278">
        <f t="shared" si="2"/>
        <v>0</v>
      </c>
      <c r="E22" s="134">
        <v>0.51</v>
      </c>
      <c r="F22" s="278">
        <f t="shared" si="3"/>
        <v>0</v>
      </c>
      <c r="G22" s="135">
        <v>0</v>
      </c>
      <c r="H22" s="135">
        <v>1</v>
      </c>
      <c r="I22" s="323">
        <f t="shared" si="5"/>
        <v>0</v>
      </c>
      <c r="J22" s="324">
        <f t="shared" si="4"/>
        <v>0</v>
      </c>
      <c r="K22" s="14"/>
      <c r="L22" s="16"/>
      <c r="M22" s="18"/>
      <c r="N22" s="18"/>
      <c r="O22" s="324">
        <f t="shared" si="0"/>
        <v>0</v>
      </c>
      <c r="P22" s="324">
        <f t="shared" si="1"/>
        <v>0</v>
      </c>
    </row>
    <row r="23" spans="1:16" ht="15">
      <c r="A23" s="110" t="s">
        <v>118</v>
      </c>
      <c r="B23" s="16">
        <v>151</v>
      </c>
      <c r="C23" s="221">
        <v>970201</v>
      </c>
      <c r="D23" s="278">
        <f t="shared" si="2"/>
        <v>494802.51</v>
      </c>
      <c r="E23" s="134">
        <v>0.51</v>
      </c>
      <c r="F23" s="278">
        <f t="shared" si="3"/>
        <v>475398.49</v>
      </c>
      <c r="G23" s="135">
        <v>0</v>
      </c>
      <c r="H23" s="135">
        <v>1</v>
      </c>
      <c r="I23" s="323">
        <f t="shared" si="5"/>
        <v>0</v>
      </c>
      <c r="J23" s="324">
        <f t="shared" si="4"/>
        <v>475398.49</v>
      </c>
      <c r="K23" s="14"/>
      <c r="L23" s="16"/>
      <c r="M23" s="18"/>
      <c r="N23" s="18"/>
      <c r="O23" s="324">
        <f t="shared" si="0"/>
        <v>0</v>
      </c>
      <c r="P23" s="324">
        <f t="shared" si="1"/>
        <v>0</v>
      </c>
    </row>
    <row r="24" spans="1:16" ht="15">
      <c r="A24" s="110" t="s">
        <v>119</v>
      </c>
      <c r="B24" s="136" t="s">
        <v>120</v>
      </c>
      <c r="C24" s="327">
        <f>473115+15000</f>
        <v>488115</v>
      </c>
      <c r="D24" s="278">
        <f t="shared" si="2"/>
        <v>488115</v>
      </c>
      <c r="E24" s="134">
        <v>1</v>
      </c>
      <c r="F24" s="278">
        <f>C24-D24</f>
        <v>0</v>
      </c>
      <c r="G24" s="135">
        <v>0</v>
      </c>
      <c r="H24" s="135">
        <v>1</v>
      </c>
      <c r="I24" s="323">
        <f t="shared" si="5"/>
        <v>0</v>
      </c>
      <c r="J24" s="324">
        <f t="shared" si="4"/>
        <v>0</v>
      </c>
      <c r="K24" s="14"/>
      <c r="L24" s="16"/>
      <c r="M24" s="18"/>
      <c r="N24" s="18"/>
      <c r="O24" s="20"/>
      <c r="P24" s="20"/>
    </row>
    <row r="25" spans="1:16" ht="15">
      <c r="A25" s="110" t="s">
        <v>121</v>
      </c>
      <c r="B25" s="16"/>
      <c r="C25" s="221">
        <v>218000</v>
      </c>
      <c r="D25" s="278">
        <f t="shared" si="2"/>
        <v>0</v>
      </c>
      <c r="E25" s="134">
        <v>0</v>
      </c>
      <c r="F25" s="278">
        <f t="shared" si="3"/>
        <v>218000</v>
      </c>
      <c r="G25" s="135">
        <v>0</v>
      </c>
      <c r="H25" s="135">
        <v>1</v>
      </c>
      <c r="I25" s="323">
        <f t="shared" si="5"/>
        <v>0</v>
      </c>
      <c r="J25" s="324">
        <f t="shared" si="4"/>
        <v>218000</v>
      </c>
      <c r="K25" s="14"/>
      <c r="L25" s="16"/>
      <c r="M25" s="18"/>
      <c r="N25" s="18"/>
      <c r="O25" s="324">
        <f t="shared" si="0"/>
        <v>0</v>
      </c>
      <c r="P25" s="324">
        <f t="shared" si="1"/>
        <v>0</v>
      </c>
    </row>
    <row r="26" spans="1:16" ht="15">
      <c r="A26" s="110" t="s">
        <v>122</v>
      </c>
      <c r="B26" s="113" t="s">
        <v>123</v>
      </c>
      <c r="C26" s="221"/>
      <c r="D26" s="278">
        <f t="shared" si="2"/>
        <v>0</v>
      </c>
      <c r="E26" s="134">
        <v>0</v>
      </c>
      <c r="F26" s="278">
        <f t="shared" si="3"/>
        <v>0</v>
      </c>
      <c r="G26" s="135">
        <v>0</v>
      </c>
      <c r="H26" s="135">
        <v>1</v>
      </c>
      <c r="I26" s="323">
        <f t="shared" si="5"/>
        <v>0</v>
      </c>
      <c r="J26" s="324">
        <f t="shared" si="4"/>
        <v>0</v>
      </c>
      <c r="K26" s="14"/>
      <c r="L26" s="16"/>
      <c r="M26" s="18"/>
      <c r="N26" s="18"/>
      <c r="O26" s="324">
        <f t="shared" si="0"/>
        <v>0</v>
      </c>
      <c r="P26" s="324">
        <f t="shared" si="1"/>
        <v>0</v>
      </c>
    </row>
    <row r="27" spans="1:16" ht="15">
      <c r="A27" s="110" t="s">
        <v>124</v>
      </c>
      <c r="B27" s="16"/>
      <c r="C27" s="221"/>
      <c r="D27" s="278">
        <f t="shared" si="2"/>
        <v>0</v>
      </c>
      <c r="E27" s="134">
        <v>0</v>
      </c>
      <c r="F27" s="278">
        <f t="shared" ref="F27" si="6">E27*C27</f>
        <v>0</v>
      </c>
      <c r="G27" s="135">
        <v>0</v>
      </c>
      <c r="H27" s="135">
        <v>1</v>
      </c>
      <c r="I27" s="323">
        <f t="shared" si="5"/>
        <v>0</v>
      </c>
      <c r="J27" s="324">
        <f t="shared" si="4"/>
        <v>0</v>
      </c>
      <c r="K27" s="14"/>
      <c r="L27" s="16"/>
      <c r="M27" s="18"/>
      <c r="N27" s="18"/>
      <c r="O27" s="324">
        <f t="shared" si="0"/>
        <v>0</v>
      </c>
      <c r="P27" s="324">
        <f t="shared" si="1"/>
        <v>0</v>
      </c>
    </row>
    <row r="28" spans="1:16">
      <c r="A28" s="114" t="s">
        <v>71</v>
      </c>
      <c r="B28" s="114"/>
      <c r="C28" s="325">
        <f>SUM(C12:C27)</f>
        <v>5109110</v>
      </c>
      <c r="D28" s="325">
        <f>SUM(D12:D27)</f>
        <v>2733642.45</v>
      </c>
      <c r="F28" s="325">
        <f>SUM(F12:F27)</f>
        <v>2375467.5499999998</v>
      </c>
      <c r="G28" s="169" t="s">
        <v>125</v>
      </c>
      <c r="H28" s="168"/>
      <c r="I28" s="325">
        <f>SUM(I12:I27)</f>
        <v>725973.59728141199</v>
      </c>
      <c r="J28" s="325">
        <f>SUM(J12:J27)</f>
        <v>1649493.9527185881</v>
      </c>
      <c r="O28" s="325">
        <f>SUM(O12:O27)</f>
        <v>643622.21204598015</v>
      </c>
      <c r="P28" s="325">
        <f>SUM(P12:P27)</f>
        <v>82351.385235431851</v>
      </c>
    </row>
    <row r="29" spans="1:16">
      <c r="F29" s="7"/>
    </row>
    <row r="30" spans="1:16">
      <c r="E30" s="137" t="s">
        <v>57</v>
      </c>
      <c r="F30" s="328" t="str">
        <f>IF(SUM(F28,D28)=C28,"Pass","Fail")</f>
        <v>Pass</v>
      </c>
    </row>
    <row r="31" spans="1:16">
      <c r="A31" s="94" t="s">
        <v>126</v>
      </c>
    </row>
    <row r="32" spans="1:16" ht="15">
      <c r="A32" s="16" t="s">
        <v>153</v>
      </c>
      <c r="B32" s="16">
        <v>211</v>
      </c>
      <c r="C32" s="221">
        <v>575543</v>
      </c>
      <c r="D32" s="278">
        <f t="shared" ref="D32:D40" si="7">E32*C32</f>
        <v>293526.93</v>
      </c>
      <c r="E32" s="134">
        <v>0.51</v>
      </c>
      <c r="F32" s="278">
        <f t="shared" ref="F32:F40" si="8">C32-D32</f>
        <v>282016.07</v>
      </c>
      <c r="G32" s="135">
        <v>0.93</v>
      </c>
      <c r="H32" s="135">
        <v>7.0000000000000007E-2</v>
      </c>
      <c r="I32" s="323">
        <f t="shared" ref="I32:I42" si="9">G32*F32</f>
        <v>262274.94510000001</v>
      </c>
      <c r="J32" s="324">
        <f t="shared" ref="J32:J42" si="10">H32*F32</f>
        <v>19741.124900000003</v>
      </c>
      <c r="K32" s="14"/>
      <c r="L32" s="19" t="s">
        <v>106</v>
      </c>
      <c r="M32" s="326">
        <f>$D$49</f>
        <v>0.99744245524296671</v>
      </c>
      <c r="N32" s="326">
        <f>$D$51</f>
        <v>2.5575447570332483E-3</v>
      </c>
      <c r="O32" s="324">
        <f t="shared" ref="O32:O42" si="11">I32*M32</f>
        <v>261604.16518925832</v>
      </c>
      <c r="P32" s="324">
        <f>N32*I32</f>
        <v>670.77991074168801</v>
      </c>
    </row>
    <row r="33" spans="1:16" ht="15">
      <c r="A33" s="16" t="s">
        <v>154</v>
      </c>
      <c r="B33" s="16">
        <v>212</v>
      </c>
      <c r="C33" s="221">
        <v>1394674</v>
      </c>
      <c r="D33" s="278">
        <f t="shared" si="7"/>
        <v>711283.74</v>
      </c>
      <c r="E33" s="134">
        <v>0.51</v>
      </c>
      <c r="F33" s="278">
        <f t="shared" si="8"/>
        <v>683390.26</v>
      </c>
      <c r="G33" s="135">
        <v>0.93</v>
      </c>
      <c r="H33" s="135">
        <v>7.0000000000000007E-2</v>
      </c>
      <c r="I33" s="323">
        <f t="shared" si="9"/>
        <v>635552.94180000003</v>
      </c>
      <c r="J33" s="324">
        <f t="shared" si="10"/>
        <v>47837.318200000009</v>
      </c>
      <c r="K33" s="14"/>
      <c r="L33" s="19" t="s">
        <v>104</v>
      </c>
      <c r="M33" s="326">
        <f>$E$50</f>
        <v>0.81401617250673852</v>
      </c>
      <c r="N33" s="326">
        <f>$E$52</f>
        <v>0.18598382749326145</v>
      </c>
      <c r="O33" s="324">
        <f t="shared" si="11"/>
        <v>517350.37310943397</v>
      </c>
      <c r="P33" s="324">
        <f t="shared" ref="P33:P42" si="12">N33*I33</f>
        <v>118202.56869056604</v>
      </c>
    </row>
    <row r="34" spans="1:16" ht="26.25">
      <c r="A34" s="16" t="s">
        <v>155</v>
      </c>
      <c r="B34" s="16">
        <v>213</v>
      </c>
      <c r="C34" s="221">
        <v>468911</v>
      </c>
      <c r="D34" s="278">
        <f t="shared" si="7"/>
        <v>239144.61000000002</v>
      </c>
      <c r="E34" s="134">
        <v>0.51</v>
      </c>
      <c r="F34" s="278">
        <f t="shared" si="8"/>
        <v>229766.38999999998</v>
      </c>
      <c r="G34" s="135">
        <v>7.0000000000000007E-2</v>
      </c>
      <c r="H34" s="135">
        <v>0.93</v>
      </c>
      <c r="I34" s="323">
        <f t="shared" si="9"/>
        <v>16083.647300000001</v>
      </c>
      <c r="J34" s="324">
        <f t="shared" si="10"/>
        <v>213682.7427</v>
      </c>
      <c r="K34" s="14"/>
      <c r="L34" s="19" t="s">
        <v>108</v>
      </c>
      <c r="M34" s="326">
        <f>$C$60</f>
        <v>0.87731685789938219</v>
      </c>
      <c r="N34" s="326">
        <f>$C$61</f>
        <v>0.12268314210061783</v>
      </c>
      <c r="O34" s="324">
        <f t="shared" si="11"/>
        <v>14110.454912797883</v>
      </c>
      <c r="P34" s="324">
        <f t="shared" si="12"/>
        <v>1973.1923872021184</v>
      </c>
    </row>
    <row r="35" spans="1:16" ht="15">
      <c r="A35" s="16" t="s">
        <v>156</v>
      </c>
      <c r="B35" s="16">
        <v>214</v>
      </c>
      <c r="C35" s="221">
        <v>1054647</v>
      </c>
      <c r="D35" s="278">
        <f t="shared" si="7"/>
        <v>537869.97</v>
      </c>
      <c r="E35" s="134">
        <v>0.51</v>
      </c>
      <c r="F35" s="278">
        <f t="shared" si="8"/>
        <v>516777.03</v>
      </c>
      <c r="G35" s="135">
        <v>0.93</v>
      </c>
      <c r="H35" s="135">
        <v>7.0000000000000007E-2</v>
      </c>
      <c r="I35" s="323">
        <f t="shared" si="9"/>
        <v>480602.63790000003</v>
      </c>
      <c r="J35" s="324">
        <f t="shared" si="10"/>
        <v>36174.392100000005</v>
      </c>
      <c r="K35" s="14"/>
      <c r="L35" s="19" t="s">
        <v>104</v>
      </c>
      <c r="M35" s="326">
        <f>$E$50</f>
        <v>0.81401617250673852</v>
      </c>
      <c r="N35" s="326">
        <f>$E$52</f>
        <v>0.18598382749326145</v>
      </c>
      <c r="O35" s="324">
        <f t="shared" si="11"/>
        <v>391218.3198</v>
      </c>
      <c r="P35" s="324">
        <f t="shared" si="12"/>
        <v>89384.318100000004</v>
      </c>
    </row>
    <row r="36" spans="1:16" ht="26.25">
      <c r="A36" s="16" t="s">
        <v>129</v>
      </c>
      <c r="B36" s="16">
        <v>215</v>
      </c>
      <c r="C36" s="221">
        <v>389079</v>
      </c>
      <c r="D36" s="278">
        <f t="shared" si="7"/>
        <v>198430.29</v>
      </c>
      <c r="E36" s="134">
        <v>0.51</v>
      </c>
      <c r="F36" s="278">
        <f t="shared" si="8"/>
        <v>190648.71</v>
      </c>
      <c r="G36" s="135">
        <v>0.4</v>
      </c>
      <c r="H36" s="135">
        <v>0.6</v>
      </c>
      <c r="I36" s="323">
        <f t="shared" si="9"/>
        <v>76259.483999999997</v>
      </c>
      <c r="J36" s="324">
        <f t="shared" si="10"/>
        <v>114389.226</v>
      </c>
      <c r="K36" s="14"/>
      <c r="L36" s="19" t="s">
        <v>108</v>
      </c>
      <c r="M36" s="326">
        <f>$C$60</f>
        <v>0.87731685789938219</v>
      </c>
      <c r="N36" s="326">
        <f>$C$61</f>
        <v>0.12268314210061783</v>
      </c>
      <c r="O36" s="324">
        <f t="shared" si="11"/>
        <v>66903.730887908212</v>
      </c>
      <c r="P36" s="324">
        <f t="shared" si="12"/>
        <v>9355.753112091792</v>
      </c>
    </row>
    <row r="37" spans="1:16" ht="15">
      <c r="A37" s="16" t="s">
        <v>157</v>
      </c>
      <c r="B37" s="16">
        <v>222</v>
      </c>
      <c r="C37" s="221">
        <v>57085</v>
      </c>
      <c r="D37" s="278">
        <f t="shared" si="7"/>
        <v>29113.350000000002</v>
      </c>
      <c r="E37" s="134">
        <v>0.51</v>
      </c>
      <c r="F37" s="278">
        <f t="shared" si="8"/>
        <v>27971.649999999998</v>
      </c>
      <c r="G37" s="135">
        <v>0</v>
      </c>
      <c r="H37" s="135">
        <v>1</v>
      </c>
      <c r="I37" s="323">
        <f t="shared" si="9"/>
        <v>0</v>
      </c>
      <c r="J37" s="324">
        <f t="shared" si="10"/>
        <v>27971.649999999998</v>
      </c>
      <c r="K37" s="14"/>
      <c r="L37" s="19"/>
      <c r="M37" s="17"/>
      <c r="N37" s="17"/>
      <c r="O37" s="324">
        <f>I37*M37</f>
        <v>0</v>
      </c>
      <c r="P37" s="324">
        <f t="shared" si="12"/>
        <v>0</v>
      </c>
    </row>
    <row r="38" spans="1:16" ht="15">
      <c r="A38" s="16" t="s">
        <v>132</v>
      </c>
      <c r="B38" s="16">
        <v>225</v>
      </c>
      <c r="C38" s="221">
        <v>61586</v>
      </c>
      <c r="D38" s="278">
        <f t="shared" si="7"/>
        <v>31408.86</v>
      </c>
      <c r="E38" s="134">
        <v>0.51</v>
      </c>
      <c r="F38" s="278">
        <f t="shared" si="8"/>
        <v>30177.14</v>
      </c>
      <c r="G38" s="135">
        <v>0</v>
      </c>
      <c r="H38" s="135">
        <v>1</v>
      </c>
      <c r="I38" s="323">
        <f t="shared" si="9"/>
        <v>0</v>
      </c>
      <c r="J38" s="324">
        <f t="shared" si="10"/>
        <v>30177.14</v>
      </c>
      <c r="K38" s="14"/>
      <c r="L38" s="16"/>
      <c r="M38" s="18"/>
      <c r="N38" s="18"/>
      <c r="O38" s="324">
        <f t="shared" si="11"/>
        <v>0</v>
      </c>
      <c r="P38" s="324">
        <f t="shared" si="12"/>
        <v>0</v>
      </c>
    </row>
    <row r="39" spans="1:16" ht="15">
      <c r="A39" s="16" t="s">
        <v>567</v>
      </c>
      <c r="B39" s="16">
        <v>341</v>
      </c>
      <c r="C39" s="221">
        <v>340000</v>
      </c>
      <c r="D39" s="278">
        <f t="shared" si="7"/>
        <v>173400</v>
      </c>
      <c r="E39" s="134">
        <v>0.51</v>
      </c>
      <c r="F39" s="278">
        <f t="shared" si="8"/>
        <v>166600</v>
      </c>
      <c r="G39" s="135">
        <v>0</v>
      </c>
      <c r="H39" s="135">
        <v>1</v>
      </c>
      <c r="I39" s="323">
        <f t="shared" ref="I39" si="13">G39*F39</f>
        <v>0</v>
      </c>
      <c r="J39" s="324">
        <f t="shared" ref="J39" si="14">H39*F39</f>
        <v>166600</v>
      </c>
      <c r="K39" s="14"/>
      <c r="L39" s="16"/>
      <c r="M39" s="18"/>
      <c r="N39" s="18"/>
      <c r="O39" s="324">
        <f t="shared" ref="O39" si="15">I39*M39</f>
        <v>0</v>
      </c>
      <c r="P39" s="324">
        <f t="shared" ref="P39" si="16">N39*I39</f>
        <v>0</v>
      </c>
    </row>
    <row r="40" spans="1:16" ht="15">
      <c r="A40" s="16" t="s">
        <v>119</v>
      </c>
      <c r="B40" s="136" t="s">
        <v>568</v>
      </c>
      <c r="C40" s="221">
        <v>1375000</v>
      </c>
      <c r="D40" s="278">
        <f t="shared" si="7"/>
        <v>1306250</v>
      </c>
      <c r="E40" s="134">
        <v>0.95</v>
      </c>
      <c r="F40" s="278">
        <f t="shared" si="8"/>
        <v>68750</v>
      </c>
      <c r="G40" s="135">
        <v>0</v>
      </c>
      <c r="H40" s="135">
        <v>1</v>
      </c>
      <c r="I40" s="323">
        <f t="shared" ref="I40" si="17">G40*F40</f>
        <v>0</v>
      </c>
      <c r="J40" s="324">
        <f t="shared" ref="J40" si="18">H40*F40</f>
        <v>68750</v>
      </c>
      <c r="K40" s="14"/>
      <c r="L40" s="16"/>
      <c r="M40" s="18"/>
      <c r="N40" s="18"/>
      <c r="O40" s="324">
        <f t="shared" ref="O40" si="19">I40*M40</f>
        <v>0</v>
      </c>
      <c r="P40" s="324">
        <f t="shared" ref="P40" si="20">N40*I40</f>
        <v>0</v>
      </c>
    </row>
    <row r="41" spans="1:16" ht="15">
      <c r="A41" s="16" t="s">
        <v>119</v>
      </c>
      <c r="B41" s="16" t="s">
        <v>120</v>
      </c>
      <c r="C41" s="221">
        <v>190156.29</v>
      </c>
      <c r="D41" s="278">
        <f t="shared" ref="D41:D42" si="21">E41*C41</f>
        <v>190156.29</v>
      </c>
      <c r="E41" s="134">
        <v>1</v>
      </c>
      <c r="F41" s="278">
        <f t="shared" ref="F41:F42" si="22">C41-D41</f>
        <v>0</v>
      </c>
      <c r="G41" s="135">
        <v>0</v>
      </c>
      <c r="H41" s="135">
        <v>1</v>
      </c>
      <c r="I41" s="323">
        <f t="shared" si="9"/>
        <v>0</v>
      </c>
      <c r="J41" s="324">
        <f t="shared" si="10"/>
        <v>0</v>
      </c>
      <c r="K41" s="14"/>
      <c r="L41" s="16"/>
      <c r="M41" s="18"/>
      <c r="N41" s="18"/>
      <c r="O41" s="324">
        <f t="shared" si="11"/>
        <v>0</v>
      </c>
      <c r="P41" s="324">
        <f t="shared" si="12"/>
        <v>0</v>
      </c>
    </row>
    <row r="42" spans="1:16" ht="15">
      <c r="A42" s="16" t="s">
        <v>121</v>
      </c>
      <c r="B42" s="16"/>
      <c r="C42" s="221">
        <v>662500</v>
      </c>
      <c r="D42" s="278">
        <f t="shared" si="21"/>
        <v>0</v>
      </c>
      <c r="E42" s="134">
        <v>0</v>
      </c>
      <c r="F42" s="278">
        <f t="shared" si="22"/>
        <v>662500</v>
      </c>
      <c r="G42" s="135">
        <v>0</v>
      </c>
      <c r="H42" s="135">
        <v>1</v>
      </c>
      <c r="I42" s="323">
        <f t="shared" si="9"/>
        <v>0</v>
      </c>
      <c r="J42" s="324">
        <f t="shared" si="10"/>
        <v>662500</v>
      </c>
      <c r="K42" s="14"/>
      <c r="L42" s="16"/>
      <c r="M42" s="18"/>
      <c r="N42" s="18"/>
      <c r="O42" s="324">
        <f t="shared" si="11"/>
        <v>0</v>
      </c>
      <c r="P42" s="324">
        <f t="shared" si="12"/>
        <v>0</v>
      </c>
    </row>
    <row r="43" spans="1:16">
      <c r="A43" s="114" t="s">
        <v>71</v>
      </c>
      <c r="B43" s="114"/>
      <c r="C43" s="325">
        <f>SUM(C32:C42)</f>
        <v>6569181.29</v>
      </c>
      <c r="D43" s="325">
        <f>SUM(D32:D42)</f>
        <v>3710584.04</v>
      </c>
      <c r="F43" s="325">
        <f>SUM(F32:F42)</f>
        <v>2858597.25</v>
      </c>
      <c r="G43" s="169" t="s">
        <v>125</v>
      </c>
      <c r="H43" s="168"/>
      <c r="I43" s="325">
        <f>SUM(I32:I42)</f>
        <v>1470773.6561</v>
      </c>
      <c r="J43" s="325">
        <f>SUM(J32:J42)</f>
        <v>1387823.5939</v>
      </c>
      <c r="O43" s="325">
        <f>SUM(O32:O42)</f>
        <v>1251187.0438993985</v>
      </c>
      <c r="P43" s="325">
        <f>SUM(P32:P42)</f>
        <v>219586.61220060167</v>
      </c>
    </row>
    <row r="44" spans="1:16">
      <c r="F44" s="6"/>
      <c r="I44" s="7"/>
      <c r="J44" s="7"/>
      <c r="O44" s="7"/>
      <c r="P44" s="7"/>
    </row>
    <row r="45" spans="1:16">
      <c r="E45" s="137" t="s">
        <v>57</v>
      </c>
      <c r="F45" s="328" t="str">
        <f>IF(SUM(F43,D43)=C43,"Pass","Fail")</f>
        <v>Pass</v>
      </c>
      <c r="H45" s="164" t="s">
        <v>71</v>
      </c>
      <c r="I45" s="325">
        <f>SUM(I28,I43)</f>
        <v>2196747.253381412</v>
      </c>
      <c r="J45" s="325">
        <f>SUM(J28,J43)</f>
        <v>3037317.5466185883</v>
      </c>
      <c r="N45" s="164" t="s">
        <v>71</v>
      </c>
      <c r="O45" s="325">
        <f>SUM(O28,O43)</f>
        <v>1894809.2559453787</v>
      </c>
      <c r="P45" s="325">
        <f>SUM(P28,P43)</f>
        <v>301937.9974360335</v>
      </c>
    </row>
    <row r="46" spans="1:16">
      <c r="F46" s="6"/>
      <c r="I46" s="7"/>
      <c r="J46" s="7"/>
      <c r="O46" s="7"/>
      <c r="P46" s="7"/>
    </row>
    <row r="47" spans="1:16">
      <c r="B47" s="142" t="s">
        <v>133</v>
      </c>
      <c r="C47" s="141"/>
      <c r="D47" s="141"/>
      <c r="E47" s="141"/>
      <c r="F47" s="6"/>
      <c r="I47" s="7"/>
      <c r="J47" s="7"/>
      <c r="O47" s="7"/>
      <c r="P47" s="7"/>
    </row>
    <row r="48" spans="1:16">
      <c r="A48" s="139" t="s">
        <v>134</v>
      </c>
      <c r="B48" s="139" t="s">
        <v>135</v>
      </c>
      <c r="C48" s="139" t="s">
        <v>136</v>
      </c>
      <c r="D48" s="139" t="s">
        <v>137</v>
      </c>
      <c r="E48" s="139" t="s">
        <v>138</v>
      </c>
      <c r="F48" s="6"/>
      <c r="I48" s="7"/>
      <c r="J48" s="7"/>
      <c r="O48" s="7"/>
      <c r="P48" s="7"/>
    </row>
    <row r="49" spans="1:16">
      <c r="A49" s="140" t="s">
        <v>139</v>
      </c>
      <c r="B49" s="14">
        <v>390</v>
      </c>
      <c r="C49" s="287">
        <f>B49/SUM($B$53)</f>
        <v>0.34421888790820832</v>
      </c>
      <c r="D49" s="287">
        <f>B49/SUM(B49,B51)</f>
        <v>0.99744245524296671</v>
      </c>
      <c r="E49" s="146"/>
      <c r="F49" s="6"/>
      <c r="I49" s="7"/>
      <c r="J49" s="7"/>
      <c r="O49" s="7"/>
      <c r="P49" s="7"/>
    </row>
    <row r="50" spans="1:16">
      <c r="A50" s="140" t="s">
        <v>140</v>
      </c>
      <c r="B50" s="14">
        <v>604</v>
      </c>
      <c r="C50" s="287">
        <f>B50/SUM($B$53)</f>
        <v>0.53309796999117387</v>
      </c>
      <c r="D50" s="146"/>
      <c r="E50" s="287">
        <f>B50/SUM(B50,B52)</f>
        <v>0.81401617250673852</v>
      </c>
      <c r="F50" s="6"/>
      <c r="I50" s="7"/>
      <c r="J50" s="7"/>
      <c r="O50" s="7"/>
      <c r="P50" s="7"/>
    </row>
    <row r="51" spans="1:16">
      <c r="A51" s="140" t="s">
        <v>141</v>
      </c>
      <c r="B51" s="14">
        <v>1</v>
      </c>
      <c r="C51" s="287">
        <f>B51/SUM($B$53)</f>
        <v>8.8261253309797002E-4</v>
      </c>
      <c r="D51" s="287">
        <f>B51/SUM(B49,B51)</f>
        <v>2.5575447570332483E-3</v>
      </c>
      <c r="E51" s="146"/>
      <c r="F51" s="6"/>
      <c r="I51" s="7"/>
      <c r="J51" s="7"/>
      <c r="O51" s="7"/>
      <c r="P51" s="7"/>
    </row>
    <row r="52" spans="1:16">
      <c r="A52" s="140" t="s">
        <v>142</v>
      </c>
      <c r="B52" s="14">
        <v>138</v>
      </c>
      <c r="C52" s="287">
        <f>B52/SUM($B$53)</f>
        <v>0.12180052956751986</v>
      </c>
      <c r="D52" s="146"/>
      <c r="E52" s="287">
        <f>B52/SUM(B50,B52)</f>
        <v>0.18598382749326145</v>
      </c>
      <c r="F52" s="6"/>
      <c r="I52" s="7"/>
      <c r="J52" s="7"/>
      <c r="O52" s="7"/>
      <c r="P52" s="7"/>
    </row>
    <row r="53" spans="1:16">
      <c r="A53" s="143" t="s">
        <v>143</v>
      </c>
      <c r="B53" s="329">
        <f>SUM(B49:B52)</f>
        <v>1133</v>
      </c>
      <c r="C53" s="330">
        <f t="shared" ref="C53:E53" si="23">SUM(C49:C52)</f>
        <v>1</v>
      </c>
      <c r="D53" s="330">
        <f t="shared" si="23"/>
        <v>1</v>
      </c>
      <c r="E53" s="330">
        <f t="shared" si="23"/>
        <v>1</v>
      </c>
      <c r="F53" s="6"/>
      <c r="I53" s="7"/>
      <c r="J53" s="7"/>
      <c r="O53" s="7"/>
      <c r="P53" s="7"/>
    </row>
    <row r="54" spans="1:16">
      <c r="A54" s="145"/>
      <c r="B54" s="145"/>
      <c r="C54" s="331" t="str">
        <f>IF(SUM(C49:C52)=100%,"Pass","Fail")</f>
        <v>Pass</v>
      </c>
      <c r="D54" s="331" t="str">
        <f t="shared" ref="D54:E54" si="24">IF(SUM(D49:D52)=100%,"Pass","Fail")</f>
        <v>Pass</v>
      </c>
      <c r="E54" s="331" t="str">
        <f t="shared" si="24"/>
        <v>Pass</v>
      </c>
      <c r="F54" s="6"/>
      <c r="I54" s="7"/>
      <c r="J54" s="7"/>
      <c r="O54" s="7"/>
      <c r="P54" s="7"/>
    </row>
    <row r="55" spans="1:16">
      <c r="F55" s="6"/>
      <c r="I55" s="7"/>
      <c r="J55" s="7"/>
      <c r="O55" s="7"/>
      <c r="P55" s="7"/>
    </row>
    <row r="56" spans="1:16">
      <c r="A56" s="137" t="s">
        <v>144</v>
      </c>
      <c r="B56" s="144">
        <v>5</v>
      </c>
      <c r="F56" s="6"/>
      <c r="I56" s="7"/>
      <c r="J56" s="7"/>
      <c r="O56" s="7"/>
      <c r="P56" s="7"/>
    </row>
    <row r="57" spans="1:16">
      <c r="A57" s="137" t="s">
        <v>145</v>
      </c>
      <c r="B57" s="144">
        <v>70</v>
      </c>
      <c r="F57" s="6"/>
      <c r="I57" s="7"/>
      <c r="J57" s="7"/>
      <c r="O57" s="7"/>
      <c r="P57" s="7"/>
    </row>
    <row r="58" spans="1:16">
      <c r="E58" s="192" t="s">
        <v>146</v>
      </c>
      <c r="F58" s="196"/>
      <c r="G58" s="192"/>
      <c r="H58" s="192"/>
      <c r="I58" s="7"/>
      <c r="J58" s="7"/>
      <c r="O58" s="7"/>
      <c r="P58" s="7"/>
    </row>
    <row r="59" spans="1:16">
      <c r="E59" s="139" t="s">
        <v>147</v>
      </c>
      <c r="F59" s="139" t="s">
        <v>148</v>
      </c>
      <c r="G59" s="139" t="s">
        <v>149</v>
      </c>
      <c r="H59" s="139" t="s">
        <v>56</v>
      </c>
      <c r="I59" s="7"/>
      <c r="J59" s="7"/>
      <c r="O59" s="7"/>
      <c r="P59" s="7"/>
    </row>
    <row r="60" spans="1:16">
      <c r="B60" s="140" t="s">
        <v>150</v>
      </c>
      <c r="C60" s="326">
        <f>SUM(C49:C50)</f>
        <v>0.87731685789938219</v>
      </c>
      <c r="E60" s="194" t="s">
        <v>127</v>
      </c>
      <c r="F60" s="332">
        <f>B52</f>
        <v>138</v>
      </c>
      <c r="G60" s="332">
        <f>B50</f>
        <v>604</v>
      </c>
      <c r="H60" s="332">
        <f>SUM(F60:G60)</f>
        <v>742</v>
      </c>
      <c r="I60" s="7"/>
      <c r="J60" s="7"/>
      <c r="O60" s="7"/>
      <c r="P60" s="7"/>
    </row>
    <row r="61" spans="1:16">
      <c r="B61" s="140" t="s">
        <v>148</v>
      </c>
      <c r="C61" s="326">
        <f>SUM(C51:C52)</f>
        <v>0.12268314210061783</v>
      </c>
      <c r="E61" s="195" t="s">
        <v>128</v>
      </c>
      <c r="F61" s="332">
        <f>B51</f>
        <v>1</v>
      </c>
      <c r="G61" s="332">
        <f>B49</f>
        <v>390</v>
      </c>
      <c r="H61" s="332">
        <f>SUM(F61:G61)</f>
        <v>391</v>
      </c>
      <c r="I61" s="7"/>
      <c r="J61" s="7"/>
      <c r="O61" s="7"/>
      <c r="P61" s="7"/>
    </row>
    <row r="62" spans="1:16">
      <c r="B62" s="140" t="s">
        <v>127</v>
      </c>
      <c r="C62" s="326">
        <f>SUM(C50,C52)</f>
        <v>0.65489849955869373</v>
      </c>
      <c r="E62" s="139" t="s">
        <v>71</v>
      </c>
      <c r="F62" s="332">
        <f>SUM(F60:F61)</f>
        <v>139</v>
      </c>
      <c r="G62" s="332">
        <f>SUM(G60:G61)</f>
        <v>994</v>
      </c>
      <c r="H62" s="332">
        <f>SUM(H60:H61)</f>
        <v>1133</v>
      </c>
      <c r="I62" s="7"/>
      <c r="J62" s="7"/>
      <c r="O62" s="7"/>
      <c r="P62" s="7"/>
    </row>
    <row r="63" spans="1:16">
      <c r="B63" s="140" t="s">
        <v>128</v>
      </c>
      <c r="C63" s="326">
        <f>SUM(C49,C51)</f>
        <v>0.34510150044130627</v>
      </c>
      <c r="F63" s="6"/>
      <c r="I63" s="7"/>
      <c r="J63" s="7"/>
      <c r="O63" s="7"/>
      <c r="P63" s="7"/>
    </row>
    <row r="64" spans="1:16">
      <c r="F64" s="6"/>
      <c r="I64" s="7"/>
      <c r="J64" s="7"/>
      <c r="O64" s="7"/>
      <c r="P64" s="7"/>
    </row>
    <row r="65" spans="1:16">
      <c r="B65" s="139" t="s">
        <v>151</v>
      </c>
      <c r="C65" s="139" t="s">
        <v>151</v>
      </c>
      <c r="F65" s="6"/>
      <c r="I65" s="7"/>
      <c r="J65" s="7"/>
      <c r="O65" s="7"/>
      <c r="P65" s="7"/>
    </row>
    <row r="66" spans="1:16">
      <c r="A66" s="137" t="s">
        <v>152</v>
      </c>
      <c r="B66" s="333">
        <f>C66/SUM(C66:C67)</f>
        <v>0.58029804037171795</v>
      </c>
      <c r="C66" s="290">
        <f>J45</f>
        <v>3037317.5466185883</v>
      </c>
      <c r="E66" s="334">
        <f>C66</f>
        <v>3037317.5466185883</v>
      </c>
      <c r="F66" s="6"/>
      <c r="I66" s="7"/>
      <c r="J66" s="7"/>
      <c r="O66" s="7"/>
      <c r="P66" s="7"/>
    </row>
    <row r="67" spans="1:16">
      <c r="A67" s="137" t="s">
        <v>96</v>
      </c>
      <c r="B67" s="333">
        <f>C67/SUM(C66:C67)</f>
        <v>0.41970195962828194</v>
      </c>
      <c r="C67" s="290">
        <f>I45</f>
        <v>2196747.253381412</v>
      </c>
      <c r="E67" s="334">
        <f>C67</f>
        <v>2196747.253381412</v>
      </c>
      <c r="F67" s="6"/>
      <c r="I67" s="7"/>
      <c r="J67" s="7"/>
      <c r="O67" s="7"/>
      <c r="P67" s="7"/>
    </row>
    <row r="68" spans="1:16">
      <c r="F68" s="6"/>
      <c r="I68" s="7"/>
      <c r="J68" s="7"/>
      <c r="O68" s="7"/>
      <c r="P68" s="7"/>
    </row>
    <row r="69" spans="1:16">
      <c r="F69" s="6"/>
      <c r="I69" s="7"/>
      <c r="J69" s="7"/>
      <c r="O69" s="7"/>
      <c r="P69" s="7"/>
    </row>
    <row r="70" spans="1:16">
      <c r="F70" s="6"/>
      <c r="I70" s="7"/>
      <c r="J70" s="7"/>
      <c r="O70" s="7"/>
      <c r="P70" s="7"/>
    </row>
    <row r="71" spans="1:16">
      <c r="F71" s="6"/>
      <c r="I71" s="7"/>
      <c r="J71" s="7"/>
      <c r="O71" s="7"/>
      <c r="P71" s="7"/>
    </row>
  </sheetData>
  <sheetProtection algorithmName="SHA-512" hashValue="dIzmEQM+dVVv+0qhuyFr1QCEl+0ZKr9inT5oU23e2G9B9LeQYSrGzUc2dZyY+zK/QxTRyCeSQPAMHqlSHJP0RA==" saltValue="12KKJRl1kok3K8xruFbO3A==" spinCount="100000" sheet="1" objects="1" scenarios="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2:L23"/>
  <sheetViews>
    <sheetView workbookViewId="0">
      <selection activeCell="C10" sqref="C10"/>
    </sheetView>
  </sheetViews>
  <sheetFormatPr defaultRowHeight="12.75"/>
  <cols>
    <col min="1" max="1" width="33.28515625" customWidth="1"/>
    <col min="2" max="2" width="10.42578125" customWidth="1"/>
    <col min="3" max="3" width="12.85546875" bestFit="1" customWidth="1"/>
    <col min="4" max="4" width="19.28515625" customWidth="1"/>
    <col min="5" max="5" width="15.5703125" customWidth="1"/>
    <col min="6" max="6" width="14.5703125" customWidth="1"/>
    <col min="7" max="7" width="17.42578125" customWidth="1"/>
  </cols>
  <sheetData>
    <row r="2" spans="1:12" ht="20.25">
      <c r="A2" s="167" t="s">
        <v>162</v>
      </c>
      <c r="B2" s="167"/>
      <c r="C2" s="167"/>
      <c r="D2" s="167"/>
      <c r="E2" s="167"/>
      <c r="F2" s="167"/>
      <c r="G2" s="167"/>
      <c r="H2" s="167"/>
      <c r="I2" s="167"/>
      <c r="J2" s="167"/>
      <c r="K2" s="167"/>
      <c r="L2" s="167"/>
    </row>
    <row r="5" spans="1:12">
      <c r="A5" s="99" t="s">
        <v>58</v>
      </c>
      <c r="B5" s="99"/>
      <c r="C5" s="99"/>
      <c r="D5" s="99"/>
      <c r="E5" s="99"/>
      <c r="F5" s="99"/>
      <c r="G5" s="99"/>
    </row>
    <row r="6" spans="1:12" ht="38.25">
      <c r="A6" s="102" t="s">
        <v>163</v>
      </c>
      <c r="B6" s="102" t="s">
        <v>164</v>
      </c>
      <c r="C6" s="102" t="s">
        <v>165</v>
      </c>
      <c r="D6" s="102" t="s">
        <v>166</v>
      </c>
      <c r="E6" s="102" t="s">
        <v>167</v>
      </c>
      <c r="F6" s="102" t="s">
        <v>168</v>
      </c>
      <c r="G6" s="102" t="s">
        <v>169</v>
      </c>
    </row>
    <row r="7" spans="1:12">
      <c r="A7" s="160" t="s">
        <v>78</v>
      </c>
      <c r="B7" s="319">
        <f>SUMIF('Land Use Summary'!$B$70:$B$81,'Allocate heavy v to sectors'!A7,'Land Use Summary'!$C$70:$C$81)</f>
        <v>195</v>
      </c>
      <c r="C7" s="144"/>
      <c r="D7" s="144"/>
      <c r="E7" s="161"/>
      <c r="F7" s="161"/>
      <c r="G7" s="277">
        <f>ROUND((B7/$B$16)*$F$16,0)</f>
        <v>187509</v>
      </c>
    </row>
    <row r="8" spans="1:12">
      <c r="A8" s="160" t="s">
        <v>47</v>
      </c>
      <c r="B8" s="161"/>
      <c r="C8" s="277">
        <f>Tonnages!$B$164</f>
        <v>11028.309479152389</v>
      </c>
      <c r="D8" s="144"/>
      <c r="E8" s="320">
        <f>ROUND((C8/$C$16)*$D$16,0)</f>
        <v>37534</v>
      </c>
      <c r="F8" s="161"/>
      <c r="G8" s="161"/>
    </row>
    <row r="9" spans="1:12">
      <c r="A9" s="160" t="s">
        <v>43</v>
      </c>
      <c r="B9" s="161"/>
      <c r="C9" s="277">
        <f>Tonnages!B120</f>
        <v>38223.220710992078</v>
      </c>
      <c r="D9" s="144"/>
      <c r="E9" s="320">
        <f>ROUND((C9/$C$16)*$D$16,0)</f>
        <v>130089</v>
      </c>
      <c r="F9" s="161"/>
      <c r="G9" s="161"/>
    </row>
    <row r="10" spans="1:12">
      <c r="A10" s="160" t="s">
        <v>29</v>
      </c>
      <c r="B10" s="161"/>
      <c r="C10" s="277">
        <f>Tonnages!$B$22</f>
        <v>150411.54588011157</v>
      </c>
      <c r="D10" s="144"/>
      <c r="E10" s="320">
        <f>ROUND((C10/$C$16)*$D$16,0)</f>
        <v>511910</v>
      </c>
      <c r="F10" s="161"/>
      <c r="G10" s="161"/>
    </row>
    <row r="11" spans="1:12">
      <c r="A11" s="160" t="s">
        <v>79</v>
      </c>
      <c r="B11" s="319">
        <f>SUMIF('Land Use Summary'!$B$70:$B$81,'Allocate heavy v to sectors'!A11,'Land Use Summary'!$C$70:$C$81)</f>
        <v>119</v>
      </c>
      <c r="C11" s="161"/>
      <c r="D11" s="144"/>
      <c r="E11" s="162"/>
      <c r="F11" s="161"/>
      <c r="G11" s="277">
        <f>ROUND((B11/$B$16)*$F$16,0)</f>
        <v>114429</v>
      </c>
    </row>
    <row r="12" spans="1:12">
      <c r="A12" s="160" t="s">
        <v>53</v>
      </c>
      <c r="B12" s="161"/>
      <c r="C12" s="161"/>
      <c r="D12" s="144"/>
      <c r="E12" s="162"/>
      <c r="F12" s="161"/>
      <c r="G12" s="161"/>
    </row>
    <row r="13" spans="1:12">
      <c r="A13" s="160" t="s">
        <v>40</v>
      </c>
      <c r="B13" s="161"/>
      <c r="C13" s="277">
        <f>Tonnages!B70</f>
        <v>357078.04036517401</v>
      </c>
      <c r="D13" s="144"/>
      <c r="E13" s="320">
        <f>ROUND((C13/$C$16)*$D$16,0)</f>
        <v>1215277</v>
      </c>
      <c r="F13" s="161"/>
      <c r="G13" s="161"/>
    </row>
    <row r="14" spans="1:12">
      <c r="A14" s="160" t="s">
        <v>50</v>
      </c>
      <c r="B14" s="161"/>
      <c r="C14" s="144"/>
      <c r="D14" s="144"/>
      <c r="E14" s="163"/>
      <c r="F14" s="144"/>
      <c r="G14" s="161"/>
    </row>
    <row r="15" spans="1:12">
      <c r="A15" s="160" t="s">
        <v>82</v>
      </c>
      <c r="B15" s="161"/>
      <c r="C15" s="144"/>
      <c r="D15" s="144"/>
      <c r="E15" s="163"/>
      <c r="F15" s="144"/>
      <c r="G15" s="277">
        <f>ROUND((B15/$B$16)*$F$16,0)</f>
        <v>0</v>
      </c>
    </row>
    <row r="16" spans="1:12">
      <c r="A16" s="95" t="s">
        <v>71</v>
      </c>
      <c r="B16" s="321">
        <f>SUM(B7:B15)</f>
        <v>314</v>
      </c>
      <c r="C16" s="321">
        <f>SUM(C7:C15)</f>
        <v>556741.11643543001</v>
      </c>
      <c r="D16" s="322">
        <f>'Allocation urban and rural'!O45</f>
        <v>1894809.2559453787</v>
      </c>
      <c r="E16" s="321">
        <f>SUM(E7:E15)</f>
        <v>1894810</v>
      </c>
      <c r="F16" s="321">
        <f>'Allocation urban and rural'!P45</f>
        <v>301937.9974360335</v>
      </c>
      <c r="G16" s="321">
        <f>SUM(G7:G15)</f>
        <v>301938</v>
      </c>
    </row>
    <row r="20" spans="1:2">
      <c r="A20" s="136" t="s">
        <v>170</v>
      </c>
      <c r="B20" s="277">
        <f>C8</f>
        <v>11028.309479152389</v>
      </c>
    </row>
    <row r="21" spans="1:2">
      <c r="A21" s="136" t="s">
        <v>43</v>
      </c>
      <c r="B21" s="277">
        <f>+C9</f>
        <v>38223.220710992078</v>
      </c>
    </row>
    <row r="22" spans="1:2">
      <c r="A22" s="103" t="s">
        <v>29</v>
      </c>
      <c r="B22" s="277">
        <f>+C10</f>
        <v>150411.54588011157</v>
      </c>
    </row>
    <row r="23" spans="1:2">
      <c r="A23" s="136" t="s">
        <v>40</v>
      </c>
      <c r="B23" s="277">
        <f>+C13</f>
        <v>357078.04036517401</v>
      </c>
    </row>
  </sheetData>
  <sheetProtection algorithmName="SHA-512" hashValue="mzXBOOXXqnxwAotKLnCOv6SZAQnv/fVntZOOnUiq12HM0VlCiwK6Bj+IcDcVqNwOQCp1h+jiODre5g1tjRoULg==" saltValue="kPKyWP/kjVqlMOAyEZvUaw==" spinCount="100000" sheet="1" objects="1" scenarios="1"/>
  <phoneticPr fontId="7" type="noConversion"/>
  <pageMargins left="0.74803149606299213" right="0.74803149606299213" top="0.98425196850393704" bottom="0.98425196850393704" header="0.51181102362204722" footer="0.51181102362204722"/>
  <pageSetup paperSize="8" scale="5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P166"/>
  <sheetViews>
    <sheetView zoomScale="80" zoomScaleNormal="80" workbookViewId="0">
      <selection activeCell="B14" sqref="B14"/>
    </sheetView>
  </sheetViews>
  <sheetFormatPr defaultColWidth="9.140625" defaultRowHeight="15"/>
  <cols>
    <col min="1" max="1" width="76.5703125" style="8" bestFit="1" customWidth="1"/>
    <col min="2" max="2" width="29.7109375" style="8" customWidth="1"/>
    <col min="3" max="4" width="22.7109375" style="8" customWidth="1"/>
    <col min="5" max="5" width="23.85546875" style="8" customWidth="1"/>
    <col min="6" max="6" width="21.42578125" style="8" customWidth="1"/>
    <col min="7" max="7" width="22.7109375" style="8" customWidth="1"/>
    <col min="8" max="8" width="17" style="8" customWidth="1"/>
    <col min="9" max="9" width="19.5703125" style="8" customWidth="1"/>
    <col min="10" max="10" width="14.28515625" style="8" bestFit="1" customWidth="1"/>
    <col min="11" max="11" width="9.140625" style="8"/>
    <col min="12" max="12" width="19" style="8" customWidth="1"/>
    <col min="13" max="13" width="9.140625" style="8"/>
    <col min="14" max="14" width="81.28515625" style="8" bestFit="1" customWidth="1"/>
    <col min="15" max="15" width="9.140625" style="8"/>
    <col min="16" max="16" width="49" style="8" customWidth="1"/>
    <col min="17" max="16384" width="9.140625" style="8"/>
  </cols>
  <sheetData>
    <row r="1" spans="1:16" ht="19.5">
      <c r="A1" s="152" t="s">
        <v>231</v>
      </c>
    </row>
    <row r="3" spans="1:16" ht="19.5">
      <c r="A3" s="152" t="s">
        <v>29</v>
      </c>
    </row>
    <row r="4" spans="1:16">
      <c r="B4" s="91" t="s">
        <v>232</v>
      </c>
      <c r="C4" s="91">
        <v>2025</v>
      </c>
      <c r="D4" s="91">
        <v>2026</v>
      </c>
      <c r="E4" s="91">
        <v>2027</v>
      </c>
      <c r="F4" s="91">
        <v>2028</v>
      </c>
      <c r="G4" s="91">
        <v>2029</v>
      </c>
      <c r="H4" s="91">
        <v>2030</v>
      </c>
      <c r="I4" s="91">
        <v>2031</v>
      </c>
      <c r="J4" s="91">
        <v>2032</v>
      </c>
      <c r="K4" s="91">
        <v>2033</v>
      </c>
      <c r="L4" s="91">
        <v>2034</v>
      </c>
      <c r="M4" s="91">
        <v>2035</v>
      </c>
      <c r="N4" s="91">
        <v>2036</v>
      </c>
      <c r="O4" s="91">
        <v>2037</v>
      </c>
    </row>
    <row r="5" spans="1:16">
      <c r="A5" s="200" t="s">
        <v>233</v>
      </c>
      <c r="B5" s="297">
        <f>AVERAGE(C5:O5)</f>
        <v>890.69230769230774</v>
      </c>
      <c r="C5" s="298">
        <f>'Wood availability forecast '!D21</f>
        <v>1068</v>
      </c>
      <c r="D5" s="298">
        <f>'Wood availability forecast '!D22</f>
        <v>914</v>
      </c>
      <c r="E5" s="298">
        <f>'Wood availability forecast '!D23</f>
        <v>934</v>
      </c>
      <c r="F5" s="298">
        <f>'Wood availability forecast '!D24</f>
        <v>1147</v>
      </c>
      <c r="G5" s="298">
        <f>'Wood availability forecast '!D25</f>
        <v>1023</v>
      </c>
      <c r="H5" s="298">
        <f>'Wood availability forecast '!D26</f>
        <v>929</v>
      </c>
      <c r="I5" s="298">
        <f>'Wood availability forecast '!D27</f>
        <v>768</v>
      </c>
      <c r="J5" s="298">
        <f>'Wood availability forecast '!D28</f>
        <v>628</v>
      </c>
      <c r="K5" s="298">
        <f>'Wood availability forecast '!D29</f>
        <v>570</v>
      </c>
      <c r="L5" s="298">
        <f>'Wood availability forecast '!D30</f>
        <v>614</v>
      </c>
      <c r="M5" s="298">
        <f>'Wood availability forecast '!D31</f>
        <v>1142</v>
      </c>
      <c r="N5" s="298">
        <f>'Wood availability forecast '!D32</f>
        <v>745</v>
      </c>
      <c r="O5" s="298">
        <f>'Wood availability forecast '!D33</f>
        <v>1097</v>
      </c>
      <c r="P5" s="133" t="s">
        <v>234</v>
      </c>
    </row>
    <row r="6" spans="1:16">
      <c r="A6" s="155"/>
    </row>
    <row r="7" spans="1:16">
      <c r="A7" s="155" t="s">
        <v>235</v>
      </c>
      <c r="B7" s="91" t="s">
        <v>71</v>
      </c>
      <c r="C7" s="91" t="s">
        <v>236</v>
      </c>
      <c r="D7" s="91" t="s">
        <v>237</v>
      </c>
      <c r="E7" s="91" t="s">
        <v>238</v>
      </c>
      <c r="F7" s="91" t="s">
        <v>239</v>
      </c>
      <c r="G7" s="91" t="s">
        <v>240</v>
      </c>
      <c r="H7" s="91" t="s">
        <v>241</v>
      </c>
      <c r="I7" s="91" t="s">
        <v>242</v>
      </c>
      <c r="J7" s="91" t="s">
        <v>243</v>
      </c>
    </row>
    <row r="8" spans="1:16">
      <c r="A8" s="200" t="s">
        <v>58</v>
      </c>
      <c r="B8" s="297">
        <f>SUM(C8:J8)</f>
        <v>6041</v>
      </c>
      <c r="C8" s="148">
        <v>149</v>
      </c>
      <c r="D8" s="148">
        <v>1523</v>
      </c>
      <c r="E8" s="148">
        <v>2466</v>
      </c>
      <c r="F8" s="148">
        <v>1074</v>
      </c>
      <c r="G8" s="148">
        <v>331</v>
      </c>
      <c r="H8" s="148">
        <v>419</v>
      </c>
      <c r="I8" s="148">
        <v>72</v>
      </c>
      <c r="J8" s="148">
        <v>7</v>
      </c>
      <c r="N8" s="50" t="s">
        <v>554</v>
      </c>
    </row>
    <row r="9" spans="1:16">
      <c r="A9" s="200" t="s">
        <v>59</v>
      </c>
      <c r="B9" s="297">
        <f t="shared" ref="B9" si="0">SUM(C9:J9)</f>
        <v>6119</v>
      </c>
      <c r="C9" s="148">
        <v>0</v>
      </c>
      <c r="D9" s="148">
        <v>1278</v>
      </c>
      <c r="E9" s="148">
        <v>3486</v>
      </c>
      <c r="F9" s="148">
        <v>963</v>
      </c>
      <c r="G9" s="148">
        <v>125</v>
      </c>
      <c r="H9" s="148">
        <v>264</v>
      </c>
      <c r="I9" s="148">
        <v>0</v>
      </c>
      <c r="J9" s="148">
        <v>3</v>
      </c>
    </row>
    <row r="10" spans="1:16">
      <c r="A10" s="200" t="s">
        <v>60</v>
      </c>
      <c r="B10" s="297">
        <f>SUM(C10:J10)</f>
        <v>23613</v>
      </c>
      <c r="C10" s="148">
        <v>2398</v>
      </c>
      <c r="D10" s="148">
        <v>4782</v>
      </c>
      <c r="E10" s="148">
        <v>7973</v>
      </c>
      <c r="F10" s="148">
        <v>6029</v>
      </c>
      <c r="G10" s="148">
        <v>1132</v>
      </c>
      <c r="H10" s="148">
        <v>884</v>
      </c>
      <c r="I10" s="148">
        <v>287</v>
      </c>
      <c r="J10" s="148">
        <v>128</v>
      </c>
    </row>
    <row r="11" spans="1:16">
      <c r="A11" s="155"/>
    </row>
    <row r="12" spans="1:16">
      <c r="A12" s="299" t="str">
        <f>A8&amp;" percentage of harvestable wood in Wairarapa"</f>
        <v>South Wairarapa District Council percentage of harvestable wood in Wairarapa</v>
      </c>
      <c r="B12" s="300">
        <f>B8/SUM($B$8:$B$10)</f>
        <v>0.16887037710004751</v>
      </c>
    </row>
    <row r="13" spans="1:16">
      <c r="A13" s="299" t="str">
        <f>A9&amp;" percentage of harvestable wood in Wairarapa"</f>
        <v>Carterton District Council percentage of harvestable wood in Wairarapa</v>
      </c>
      <c r="B13" s="300">
        <f>B9/SUM($B$8:$B$10)</f>
        <v>0.1710507924971347</v>
      </c>
    </row>
    <row r="14" spans="1:16">
      <c r="A14" s="299" t="str">
        <f>A10&amp;" percentage of harvestable wood in Wairarapa"</f>
        <v>Masterton District Council percentage of harvestable wood in Wairarapa</v>
      </c>
      <c r="B14" s="300">
        <f>B10/SUM($B$8:$B$10)</f>
        <v>0.66007883040281778</v>
      </c>
    </row>
    <row r="15" spans="1:16">
      <c r="A15" s="155"/>
    </row>
    <row r="16" spans="1:16">
      <c r="A16" s="301" t="str">
        <f>A8&amp;" average annual cubic meters of wood forecast"</f>
        <v>South Wairarapa District Council average annual cubic meters of wood forecast</v>
      </c>
      <c r="B16" s="302">
        <f>B12*$B$5*1000</f>
        <v>150411.54588011157</v>
      </c>
    </row>
    <row r="17" spans="1:14">
      <c r="A17" s="301" t="str">
        <f>A9&amp;" average annual cubic meters of wood forecast"</f>
        <v>Carterton District Council average annual cubic meters of wood forecast</v>
      </c>
      <c r="B17" s="302">
        <f>B13*$B$5*1000</f>
        <v>152353.625101871</v>
      </c>
    </row>
    <row r="18" spans="1:14">
      <c r="A18" s="301" t="str">
        <f>A10&amp;" average annual cubic meters of wood forecast"</f>
        <v>Masterton District Council average annual cubic meters of wood forecast</v>
      </c>
      <c r="B18" s="302">
        <f>B14*$B$5*1000</f>
        <v>587927.13671032514</v>
      </c>
    </row>
    <row r="19" spans="1:14">
      <c r="A19" s="155"/>
    </row>
    <row r="20" spans="1:14">
      <c r="A20" s="155" t="s">
        <v>244</v>
      </c>
      <c r="B20" s="147">
        <v>1</v>
      </c>
      <c r="L20" s="201" t="s">
        <v>245</v>
      </c>
      <c r="N20" s="149" t="s">
        <v>246</v>
      </c>
    </row>
    <row r="21" spans="1:14">
      <c r="A21" s="155"/>
    </row>
    <row r="22" spans="1:14">
      <c r="A22" s="301" t="str">
        <f>"Tonnes green wood "&amp;A8&amp;" average over LTP period"</f>
        <v>Tonnes green wood South Wairarapa District Council average over LTP period</v>
      </c>
      <c r="B22" s="303">
        <f>$B$20*B16</f>
        <v>150411.54588011157</v>
      </c>
    </row>
    <row r="23" spans="1:14">
      <c r="A23" s="301" t="str">
        <f>"Tonnes green wood "&amp;A9&amp;" average over LTP period"</f>
        <v>Tonnes green wood Carterton District Council average over LTP period</v>
      </c>
      <c r="B23" s="303">
        <f>$B$20*B17</f>
        <v>152353.625101871</v>
      </c>
    </row>
    <row r="24" spans="1:14">
      <c r="A24" s="301" t="str">
        <f>"Tonnes green wood "&amp;A10&amp;" average over LTP period"</f>
        <v>Tonnes green wood Masterton District Council average over LTP period</v>
      </c>
      <c r="B24" s="303">
        <f>$B$20*B18</f>
        <v>587927.13671032514</v>
      </c>
    </row>
    <row r="25" spans="1:14">
      <c r="A25" s="155"/>
    </row>
    <row r="26" spans="1:14">
      <c r="A26" s="155"/>
    </row>
    <row r="27" spans="1:14" ht="19.5">
      <c r="A27" s="152" t="s">
        <v>40</v>
      </c>
      <c r="E27" s="51"/>
    </row>
    <row r="28" spans="1:14">
      <c r="A28" s="200" t="s">
        <v>247</v>
      </c>
      <c r="B28" s="148">
        <v>55755125</v>
      </c>
      <c r="C28" s="202" t="s">
        <v>248</v>
      </c>
      <c r="D28" s="202"/>
      <c r="E28" s="51"/>
      <c r="N28" s="149" t="s">
        <v>249</v>
      </c>
    </row>
    <row r="29" spans="1:14">
      <c r="A29" s="155"/>
      <c r="B29" s="11"/>
    </row>
    <row r="30" spans="1:14">
      <c r="A30" s="200" t="s">
        <v>250</v>
      </c>
      <c r="B30" s="148">
        <v>21012000000</v>
      </c>
      <c r="C30" s="202" t="s">
        <v>248</v>
      </c>
      <c r="N30" s="149" t="s">
        <v>249</v>
      </c>
    </row>
    <row r="31" spans="1:14">
      <c r="A31" s="155" t="s">
        <v>251</v>
      </c>
      <c r="B31" s="148">
        <v>1937000000</v>
      </c>
      <c r="C31" s="202" t="s">
        <v>248</v>
      </c>
      <c r="N31" s="149" t="s">
        <v>249</v>
      </c>
    </row>
    <row r="32" spans="1:14">
      <c r="A32" s="155" t="s">
        <v>252</v>
      </c>
      <c r="B32" s="304">
        <f>B31/B30</f>
        <v>9.2185417856462976E-2</v>
      </c>
    </row>
    <row r="33" spans="1:14">
      <c r="A33" s="155"/>
      <c r="B33" s="11"/>
    </row>
    <row r="34" spans="1:14">
      <c r="A34" s="155" t="s">
        <v>253</v>
      </c>
      <c r="B34" s="305">
        <f>B28/B32</f>
        <v>604815016.26226127</v>
      </c>
    </row>
    <row r="35" spans="1:14">
      <c r="A35" s="155"/>
    </row>
    <row r="36" spans="1:14">
      <c r="A36" s="155" t="s">
        <v>254</v>
      </c>
      <c r="B36" s="302">
        <f>B34*1000</f>
        <v>604815016262.26123</v>
      </c>
    </row>
    <row r="37" spans="1:14">
      <c r="A37" s="155"/>
    </row>
    <row r="38" spans="1:14">
      <c r="A38" s="155" t="s">
        <v>255</v>
      </c>
      <c r="B38" s="10">
        <v>1.04</v>
      </c>
      <c r="L38" s="201" t="s">
        <v>245</v>
      </c>
      <c r="N38" s="149" t="s">
        <v>256</v>
      </c>
    </row>
    <row r="39" spans="1:14">
      <c r="A39" s="155"/>
    </row>
    <row r="40" spans="1:14">
      <c r="A40" s="155" t="s">
        <v>257</v>
      </c>
      <c r="B40" s="302">
        <f>B38*B36</f>
        <v>629007616912.75171</v>
      </c>
    </row>
    <row r="41" spans="1:14">
      <c r="A41" s="155"/>
    </row>
    <row r="42" spans="1:14">
      <c r="A42" s="200" t="s">
        <v>258</v>
      </c>
      <c r="B42" s="303">
        <f>B40/1000/1000</f>
        <v>629007.61691275169</v>
      </c>
    </row>
    <row r="43" spans="1:14">
      <c r="A43" s="155"/>
    </row>
    <row r="44" spans="1:14">
      <c r="A44" s="200" t="s">
        <v>259</v>
      </c>
      <c r="B44" s="306">
        <f>SUM('Land Use Summary'!$E$59)</f>
        <v>32322.644899999999</v>
      </c>
      <c r="C44" s="202" t="s">
        <v>260</v>
      </c>
    </row>
    <row r="45" spans="1:14">
      <c r="A45" s="155"/>
      <c r="B45" s="12"/>
    </row>
    <row r="46" spans="1:14">
      <c r="A46" s="155"/>
      <c r="B46" s="151" t="s">
        <v>261</v>
      </c>
    </row>
    <row r="47" spans="1:14">
      <c r="A47" s="200" t="s">
        <v>58</v>
      </c>
      <c r="B47" s="307">
        <f>_xlfn.XLOOKUP(A47,'Land Use Summary'!$B$56:$D$56,'Land Use Summary'!$B$59:$D$59)</f>
        <v>18227.903999999999</v>
      </c>
      <c r="C47" s="8" t="s">
        <v>260</v>
      </c>
    </row>
    <row r="48" spans="1:14">
      <c r="A48" s="200" t="s">
        <v>59</v>
      </c>
      <c r="B48" s="307">
        <f>_xlfn.XLOOKUP(A48,'Land Use Summary'!$B$56:$D$56,'Land Use Summary'!$B$59:$D$59)</f>
        <v>11059.454299999999</v>
      </c>
      <c r="C48" s="8" t="s">
        <v>260</v>
      </c>
    </row>
    <row r="49" spans="1:14">
      <c r="A49" s="200" t="s">
        <v>60</v>
      </c>
      <c r="B49" s="308">
        <f>_xlfn.XLOOKUP(A49,'Land Use Summary'!$B$56:$D$56,'Land Use Summary'!$B$59:$D$59)</f>
        <v>3035.2865999999999</v>
      </c>
      <c r="C49" s="8" t="s">
        <v>260</v>
      </c>
    </row>
    <row r="50" spans="1:14">
      <c r="A50" s="200" t="s">
        <v>57</v>
      </c>
      <c r="B50" s="286" t="str">
        <f>IF(B44=SUM(B47:B49),"Pass","Fail")</f>
        <v>Pass</v>
      </c>
    </row>
    <row r="51" spans="1:14">
      <c r="A51" s="155"/>
    </row>
    <row r="52" spans="1:14">
      <c r="A52" s="301" t="str">
        <f>"Tonnes Raw Milk "&amp;A47</f>
        <v>Tonnes Raw Milk South Wairarapa District Council</v>
      </c>
      <c r="B52" s="305">
        <f>$B$42*B47/$B$44</f>
        <v>354720.057465174</v>
      </c>
    </row>
    <row r="53" spans="1:14">
      <c r="A53" s="301" t="str">
        <f t="shared" ref="A53:A54" si="1">"Tonnes Raw Milk "&amp;A48</f>
        <v>Tonnes Raw Milk Carterton District Council</v>
      </c>
      <c r="B53" s="305">
        <f>$B$42*B48/$B$44</f>
        <v>215220.04202070989</v>
      </c>
    </row>
    <row r="54" spans="1:14">
      <c r="A54" s="301" t="str">
        <f t="shared" si="1"/>
        <v>Tonnes Raw Milk Masterton District Council</v>
      </c>
      <c r="B54" s="305">
        <f t="shared" ref="B54" si="2">$B$42*B49/$B$44</f>
        <v>59067.517426867766</v>
      </c>
    </row>
    <row r="55" spans="1:14">
      <c r="A55" s="200" t="s">
        <v>57</v>
      </c>
      <c r="B55" s="286" t="str">
        <f>IF(B42=SUM(B52:B54),"Pass","Fail")</f>
        <v>Pass</v>
      </c>
      <c r="C55" s="224"/>
    </row>
    <row r="56" spans="1:14">
      <c r="A56" s="203"/>
      <c r="B56" s="203"/>
      <c r="C56" s="203"/>
      <c r="D56" s="203"/>
    </row>
    <row r="57" spans="1:14">
      <c r="A57" s="203"/>
      <c r="B57" s="203"/>
      <c r="C57" s="203"/>
      <c r="D57" s="203"/>
    </row>
    <row r="58" spans="1:14" ht="19.5">
      <c r="A58" s="152" t="s">
        <v>262</v>
      </c>
    </row>
    <row r="59" spans="1:14" ht="19.5">
      <c r="B59" s="152" t="s">
        <v>263</v>
      </c>
      <c r="C59" s="152"/>
      <c r="D59" s="152"/>
    </row>
    <row r="60" spans="1:14">
      <c r="A60" s="9"/>
      <c r="B60" s="309" t="str">
        <f>A47</f>
        <v>South Wairarapa District Council</v>
      </c>
      <c r="C60" s="309" t="str">
        <f>A48</f>
        <v>Carterton District Council</v>
      </c>
      <c r="D60" s="309" t="str">
        <f>A49</f>
        <v>Masterton District Council</v>
      </c>
    </row>
    <row r="61" spans="1:14">
      <c r="A61" s="203" t="s">
        <v>264</v>
      </c>
      <c r="B61" s="150">
        <v>10018</v>
      </c>
      <c r="C61" s="150">
        <v>4843</v>
      </c>
      <c r="D61" s="150">
        <v>3320</v>
      </c>
      <c r="E61" s="204" t="s">
        <v>265</v>
      </c>
      <c r="N61" s="149" t="s">
        <v>266</v>
      </c>
    </row>
    <row r="62" spans="1:14">
      <c r="A62" s="203" t="s">
        <v>267</v>
      </c>
      <c r="B62" s="150">
        <v>7805</v>
      </c>
      <c r="C62" s="150">
        <v>4934</v>
      </c>
      <c r="D62" s="150">
        <v>2224</v>
      </c>
      <c r="E62" s="204" t="s">
        <v>265</v>
      </c>
      <c r="N62" s="149" t="s">
        <v>266</v>
      </c>
    </row>
    <row r="63" spans="1:14">
      <c r="A63" s="310" t="str">
        <f>"Total "&amp;B59</f>
        <v>Total FY 2016</v>
      </c>
      <c r="B63" s="305">
        <f>SUM(B61:B62)</f>
        <v>17823</v>
      </c>
      <c r="C63" s="305">
        <f t="shared" ref="C63:D63" si="3">SUM(C61:C62)</f>
        <v>9777</v>
      </c>
      <c r="D63" s="305">
        <f t="shared" si="3"/>
        <v>5544</v>
      </c>
    </row>
    <row r="65" spans="1:14">
      <c r="A65" s="154" t="s">
        <v>268</v>
      </c>
      <c r="B65" s="311">
        <f>0.441*0.3</f>
        <v>0.1323</v>
      </c>
      <c r="L65" s="201" t="s">
        <v>245</v>
      </c>
      <c r="N65" s="149" t="s">
        <v>269</v>
      </c>
    </row>
    <row r="66" spans="1:14">
      <c r="A66" s="154"/>
    </row>
    <row r="67" spans="1:14">
      <c r="A67" s="154"/>
      <c r="B67" s="153" t="s">
        <v>58</v>
      </c>
      <c r="C67" s="153" t="s">
        <v>59</v>
      </c>
      <c r="D67" s="153" t="s">
        <v>60</v>
      </c>
    </row>
    <row r="68" spans="1:14">
      <c r="A68" s="203" t="s">
        <v>270</v>
      </c>
      <c r="B68" s="305">
        <f>$B$65*B63</f>
        <v>2357.9829</v>
      </c>
      <c r="C68" s="305">
        <f>$B$65*C63</f>
        <v>1293.4971</v>
      </c>
      <c r="D68" s="305">
        <f>$B$65*D63</f>
        <v>733.47119999999995</v>
      </c>
    </row>
    <row r="69" spans="1:14">
      <c r="A69" s="154"/>
    </row>
    <row r="70" spans="1:14">
      <c r="A70" s="154" t="s">
        <v>271</v>
      </c>
      <c r="B70" s="305">
        <f>B68+B52</f>
        <v>357078.04036517401</v>
      </c>
      <c r="C70" s="305">
        <f>C68+B53</f>
        <v>216513.5391207099</v>
      </c>
      <c r="D70" s="305">
        <f>D68+B54</f>
        <v>59800.988626867766</v>
      </c>
    </row>
    <row r="74" spans="1:14" ht="19.5">
      <c r="A74" s="152" t="s">
        <v>272</v>
      </c>
    </row>
    <row r="75" spans="1:14">
      <c r="A75" s="157" t="s">
        <v>273</v>
      </c>
      <c r="B75" s="91" t="s">
        <v>274</v>
      </c>
      <c r="D75" s="91" t="s">
        <v>275</v>
      </c>
      <c r="G75" s="91" t="s">
        <v>276</v>
      </c>
    </row>
    <row r="76" spans="1:14">
      <c r="A76" s="203" t="s">
        <v>277</v>
      </c>
      <c r="B76" s="150">
        <v>18366</v>
      </c>
      <c r="D76" s="150">
        <v>441</v>
      </c>
      <c r="E76" s="204" t="s">
        <v>265</v>
      </c>
      <c r="F76" s="203" t="s">
        <v>278</v>
      </c>
      <c r="G76" s="150">
        <v>25503</v>
      </c>
      <c r="N76" s="149" t="s">
        <v>266</v>
      </c>
    </row>
    <row r="77" spans="1:14">
      <c r="A77" s="203" t="s">
        <v>279</v>
      </c>
      <c r="B77" s="150">
        <v>16915</v>
      </c>
      <c r="D77" s="150">
        <v>14</v>
      </c>
      <c r="E77" s="204" t="s">
        <v>265</v>
      </c>
      <c r="F77" s="203" t="s">
        <v>280</v>
      </c>
      <c r="G77" s="150">
        <v>3306</v>
      </c>
      <c r="N77" s="149" t="s">
        <v>266</v>
      </c>
    </row>
    <row r="78" spans="1:14">
      <c r="A78" s="154"/>
    </row>
    <row r="79" spans="1:14">
      <c r="A79" s="157" t="s">
        <v>273</v>
      </c>
      <c r="B79" s="91" t="s">
        <v>274</v>
      </c>
      <c r="D79" s="91" t="s">
        <v>275</v>
      </c>
      <c r="G79" s="91" t="s">
        <v>276</v>
      </c>
    </row>
    <row r="80" spans="1:14">
      <c r="A80" s="203" t="s">
        <v>281</v>
      </c>
      <c r="B80" s="150">
        <v>22709</v>
      </c>
      <c r="D80" s="150">
        <v>1467</v>
      </c>
      <c r="E80" s="204" t="s">
        <v>265</v>
      </c>
      <c r="F80" s="203" t="s">
        <v>278</v>
      </c>
      <c r="G80" s="150">
        <v>13312</v>
      </c>
      <c r="N80" s="149" t="s">
        <v>266</v>
      </c>
    </row>
    <row r="81" spans="1:14">
      <c r="A81" s="203" t="s">
        <v>282</v>
      </c>
      <c r="B81" s="150">
        <v>16851</v>
      </c>
      <c r="D81" s="150">
        <v>69</v>
      </c>
      <c r="E81" s="204" t="s">
        <v>265</v>
      </c>
      <c r="F81" s="203" t="s">
        <v>280</v>
      </c>
      <c r="G81" s="150">
        <v>2235</v>
      </c>
      <c r="N81" s="149" t="s">
        <v>266</v>
      </c>
    </row>
    <row r="82" spans="1:14">
      <c r="A82" s="154"/>
    </row>
    <row r="83" spans="1:14">
      <c r="A83" s="157" t="s">
        <v>273</v>
      </c>
      <c r="B83" s="91" t="s">
        <v>274</v>
      </c>
      <c r="D83" s="91" t="s">
        <v>275</v>
      </c>
      <c r="G83" s="91" t="s">
        <v>276</v>
      </c>
    </row>
    <row r="84" spans="1:14">
      <c r="A84" s="203" t="s">
        <v>283</v>
      </c>
      <c r="B84" s="150">
        <v>23144</v>
      </c>
      <c r="D84" s="150">
        <v>1347</v>
      </c>
      <c r="E84" s="204" t="s">
        <v>265</v>
      </c>
      <c r="F84" s="203" t="s">
        <v>278</v>
      </c>
      <c r="G84" s="150">
        <v>18788</v>
      </c>
      <c r="N84" s="149" t="s">
        <v>266</v>
      </c>
    </row>
    <row r="85" spans="1:14">
      <c r="A85" s="203" t="s">
        <v>284</v>
      </c>
      <c r="B85" s="150">
        <v>17559</v>
      </c>
      <c r="D85" s="150">
        <v>28</v>
      </c>
      <c r="E85" s="204" t="s">
        <v>265</v>
      </c>
      <c r="F85" s="203" t="s">
        <v>280</v>
      </c>
      <c r="G85" s="150">
        <v>2632</v>
      </c>
      <c r="N85" s="149" t="s">
        <v>266</v>
      </c>
    </row>
    <row r="86" spans="1:14">
      <c r="A86" s="154"/>
    </row>
    <row r="87" spans="1:14">
      <c r="A87" s="154"/>
    </row>
    <row r="88" spans="1:14">
      <c r="A88" s="154"/>
    </row>
    <row r="89" spans="1:14">
      <c r="A89" s="154" t="s">
        <v>285</v>
      </c>
      <c r="B89" s="10">
        <v>0.52</v>
      </c>
      <c r="D89" s="10">
        <v>0.15</v>
      </c>
      <c r="G89" s="10">
        <v>0.33500000000000002</v>
      </c>
      <c r="L89" s="201" t="s">
        <v>245</v>
      </c>
      <c r="N89" s="149" t="s">
        <v>286</v>
      </c>
    </row>
    <row r="90" spans="1:14">
      <c r="A90" s="154"/>
      <c r="L90" s="201" t="s">
        <v>245</v>
      </c>
      <c r="N90" s="149" t="s">
        <v>287</v>
      </c>
    </row>
    <row r="91" spans="1:14">
      <c r="A91" s="203" t="s">
        <v>288</v>
      </c>
      <c r="B91" s="305">
        <f>$B$89*SUM(B76:B77)</f>
        <v>18346.12</v>
      </c>
      <c r="D91" s="305">
        <f>$D$89*SUM(D76:D77)</f>
        <v>68.25</v>
      </c>
      <c r="G91" s="305">
        <f>$G$89*SUM(G76:G77)</f>
        <v>9651.0150000000012</v>
      </c>
    </row>
    <row r="92" spans="1:14">
      <c r="A92" s="203" t="s">
        <v>289</v>
      </c>
      <c r="B92" s="305">
        <f>$B$89*SUM(B80:B81)</f>
        <v>20571.2</v>
      </c>
      <c r="D92" s="305">
        <f>$D$89*SUM(D80:D81)</f>
        <v>230.39999999999998</v>
      </c>
      <c r="G92" s="305">
        <f>$G$89*SUM(G80:G81)</f>
        <v>5208.2449999999999</v>
      </c>
    </row>
    <row r="93" spans="1:14">
      <c r="A93" s="203" t="s">
        <v>290</v>
      </c>
      <c r="B93" s="305">
        <f>$B$89*SUM(B84:B85)</f>
        <v>21165.56</v>
      </c>
      <c r="D93" s="305">
        <f>$D$89*SUM(D84:D85)</f>
        <v>206.25</v>
      </c>
      <c r="G93" s="305">
        <f>$G$89*SUM(G84:G85)</f>
        <v>7175.7000000000007</v>
      </c>
    </row>
    <row r="94" spans="1:14">
      <c r="A94" s="154"/>
      <c r="B94" s="154"/>
      <c r="C94" s="154"/>
      <c r="D94" s="154"/>
      <c r="E94" s="154"/>
    </row>
    <row r="95" spans="1:14">
      <c r="A95" s="154"/>
      <c r="B95" s="154"/>
      <c r="C95" s="154"/>
      <c r="D95" s="154"/>
      <c r="E95" s="154"/>
    </row>
    <row r="97" spans="1:14">
      <c r="A97" s="91" t="s">
        <v>291</v>
      </c>
      <c r="B97" s="91" t="s">
        <v>292</v>
      </c>
      <c r="C97" s="91" t="s">
        <v>293</v>
      </c>
      <c r="D97" s="91" t="s">
        <v>294</v>
      </c>
    </row>
    <row r="98" spans="1:14">
      <c r="A98" s="199" t="s">
        <v>295</v>
      </c>
      <c r="B98" s="205">
        <v>23935</v>
      </c>
      <c r="C98" s="205">
        <v>892315</v>
      </c>
      <c r="D98" s="205">
        <v>3959162</v>
      </c>
      <c r="N98" s="149" t="s">
        <v>296</v>
      </c>
    </row>
    <row r="99" spans="1:14">
      <c r="A99" s="199" t="s">
        <v>297</v>
      </c>
      <c r="B99" s="205">
        <v>0</v>
      </c>
      <c r="C99" s="205">
        <v>428000</v>
      </c>
      <c r="D99" s="205">
        <v>411000</v>
      </c>
      <c r="N99" s="149" t="s">
        <v>298</v>
      </c>
    </row>
    <row r="100" spans="1:14">
      <c r="A100" s="199" t="s">
        <v>299</v>
      </c>
      <c r="B100" s="205">
        <v>644</v>
      </c>
      <c r="C100" s="205">
        <v>4309000</v>
      </c>
      <c r="D100" s="205">
        <v>4024000</v>
      </c>
      <c r="N100" s="149" t="s">
        <v>300</v>
      </c>
    </row>
    <row r="101" spans="1:14">
      <c r="A101" s="199" t="s">
        <v>301</v>
      </c>
      <c r="B101" s="205">
        <v>337</v>
      </c>
      <c r="C101" s="205">
        <v>1165000</v>
      </c>
      <c r="D101" s="205">
        <v>1034000</v>
      </c>
      <c r="N101" s="149" t="s">
        <v>302</v>
      </c>
    </row>
    <row r="103" spans="1:14">
      <c r="A103" s="199" t="s">
        <v>303</v>
      </c>
      <c r="B103" s="302">
        <f>B101/SUM(B99:B101)*B98</f>
        <v>8222.3190621814483</v>
      </c>
      <c r="C103" s="302">
        <f>C101/SUM(C99:C101)*C98</f>
        <v>176134.6958658082</v>
      </c>
      <c r="D103" s="302">
        <f>D101/SUM(D99:D101)*D98</f>
        <v>748541.50813677092</v>
      </c>
    </row>
    <row r="104" spans="1:14">
      <c r="A104" s="199" t="s">
        <v>304</v>
      </c>
      <c r="B104" s="312">
        <f>30/1000</f>
        <v>0.03</v>
      </c>
      <c r="C104" s="312">
        <f>(50.6+48.7+47.7+56.9+58.5+55.4)/6/1000</f>
        <v>5.2966666666666662E-2</v>
      </c>
      <c r="D104" s="159">
        <v>3.1600000000000003E-2</v>
      </c>
      <c r="N104" s="149" t="s">
        <v>305</v>
      </c>
    </row>
    <row r="105" spans="1:14">
      <c r="A105" s="199" t="s">
        <v>306</v>
      </c>
      <c r="B105" s="302">
        <f>SUMPRODUCT(B103:D103,B104:D104)</f>
        <v>33229.84895334638</v>
      </c>
    </row>
    <row r="107" spans="1:14">
      <c r="A107" s="199" t="s">
        <v>307</v>
      </c>
      <c r="B107" s="315">
        <f>F110</f>
        <v>408094.42240124516</v>
      </c>
      <c r="E107" s="206" t="s">
        <v>308</v>
      </c>
    </row>
    <row r="108" spans="1:14" ht="30">
      <c r="A108" s="199" t="s">
        <v>309</v>
      </c>
      <c r="B108" s="302">
        <f>'Land Use Summary'!E58</f>
        <v>335300.88199999998</v>
      </c>
      <c r="E108" s="181" t="s">
        <v>309</v>
      </c>
      <c r="F108" s="305">
        <f>B108</f>
        <v>335300.88199999998</v>
      </c>
    </row>
    <row r="109" spans="1:14" ht="45">
      <c r="A109" s="314" t="str">
        <f>A47&amp;" general farming land"</f>
        <v>South Wairarapa District Council general farming land</v>
      </c>
      <c r="B109" s="302">
        <f>'Land Use Summary'!B58</f>
        <v>124747.9669</v>
      </c>
      <c r="E109" s="181" t="s">
        <v>310</v>
      </c>
      <c r="F109" s="313">
        <f>'Land Use Summary'!P47</f>
        <v>0.8216257405016103</v>
      </c>
      <c r="G109" s="207"/>
    </row>
    <row r="110" spans="1:14" ht="30">
      <c r="A110" s="314" t="str">
        <f>A48&amp;" general farming land"</f>
        <v>Carterton District Council general farming land</v>
      </c>
      <c r="B110" s="302">
        <f>'Land Use Summary'!C58</f>
        <v>66724.99139999997</v>
      </c>
      <c r="E110" s="181" t="s">
        <v>311</v>
      </c>
      <c r="F110" s="305">
        <f>F108/F109</f>
        <v>408094.42240124516</v>
      </c>
      <c r="G110" s="207"/>
    </row>
    <row r="111" spans="1:14">
      <c r="A111" s="314" t="str">
        <f>A49&amp;" general farming land"</f>
        <v>Masterton District Council general farming land</v>
      </c>
      <c r="B111" s="302">
        <f>'Land Use Summary'!D58</f>
        <v>143827.92370000001</v>
      </c>
      <c r="G111" s="207"/>
    </row>
    <row r="112" spans="1:14">
      <c r="A112" s="200" t="s">
        <v>57</v>
      </c>
      <c r="B112" s="286" t="str">
        <f>IF(B108=SUM(B109:B111),"Pass","Fail")</f>
        <v>Pass</v>
      </c>
      <c r="G112" s="207"/>
    </row>
    <row r="113" spans="1:14">
      <c r="G113" s="207"/>
    </row>
    <row r="114" spans="1:14">
      <c r="G114" s="207"/>
    </row>
    <row r="115" spans="1:14">
      <c r="A115" s="310" t="str">
        <f>A47&amp;" share of other livestock weights"</f>
        <v>South Wairarapa District Council share of other livestock weights</v>
      </c>
      <c r="B115" s="302">
        <f>B109/$B$107*$B$105</f>
        <v>10157.83571099208</v>
      </c>
      <c r="G115" s="52"/>
    </row>
    <row r="116" spans="1:14">
      <c r="A116" s="310" t="str">
        <f>A48&amp;" share of other livestock weights"</f>
        <v>Carterton District Council share of other livestock weights</v>
      </c>
      <c r="B116" s="302">
        <f>B110/$B$107*$B$105</f>
        <v>5433.2067872647558</v>
      </c>
      <c r="G116" s="52"/>
    </row>
    <row r="117" spans="1:14">
      <c r="A117" s="310" t="str">
        <f>A49&amp;" share of other livestock weights"</f>
        <v>Masterton District Council share of other livestock weights</v>
      </c>
      <c r="B117" s="302">
        <f>B111/$B$107*$B$105</f>
        <v>11711.456754793044</v>
      </c>
      <c r="G117" s="52"/>
    </row>
    <row r="118" spans="1:14">
      <c r="G118" s="52"/>
    </row>
    <row r="119" spans="1:14">
      <c r="A119" s="154"/>
      <c r="H119" s="52"/>
      <c r="I119" s="52"/>
    </row>
    <row r="120" spans="1:14">
      <c r="A120" s="310" t="str">
        <f>"Total general farming tonnage "&amp;A47</f>
        <v>Total general farming tonnage South Wairarapa District Council</v>
      </c>
      <c r="B120" s="303">
        <f>B91+D91+B115+G91</f>
        <v>38223.220710992078</v>
      </c>
      <c r="H120" s="52"/>
    </row>
    <row r="121" spans="1:14">
      <c r="A121" s="310" t="str">
        <f>"Total general farming tonnage "&amp;A48</f>
        <v>Total general farming tonnage Carterton District Council</v>
      </c>
      <c r="B121" s="303">
        <f>B92+D92+B116+G92</f>
        <v>31443.051787264758</v>
      </c>
      <c r="H121" s="52"/>
    </row>
    <row r="122" spans="1:14">
      <c r="A122" s="310" t="str">
        <f>"Total general farming tonnage "&amp;A49</f>
        <v>Total general farming tonnage Masterton District Council</v>
      </c>
      <c r="B122" s="303">
        <f>B93+D93+B117+G93</f>
        <v>40258.966754793044</v>
      </c>
      <c r="H122" s="52"/>
    </row>
    <row r="123" spans="1:14">
      <c r="G123" s="52"/>
    </row>
    <row r="125" spans="1:14" ht="19.5">
      <c r="A125" s="152" t="s">
        <v>170</v>
      </c>
      <c r="H125" s="207"/>
    </row>
    <row r="126" spans="1:14">
      <c r="A126" s="157" t="s">
        <v>312</v>
      </c>
      <c r="H126" s="207"/>
    </row>
    <row r="127" spans="1:14">
      <c r="A127" s="154"/>
      <c r="B127" s="206" t="s">
        <v>313</v>
      </c>
      <c r="C127" s="206" t="s">
        <v>314</v>
      </c>
      <c r="H127" s="207"/>
    </row>
    <row r="128" spans="1:14">
      <c r="A128" s="154" t="s">
        <v>315</v>
      </c>
      <c r="B128" s="92">
        <v>90</v>
      </c>
      <c r="C128" s="92">
        <v>60.7</v>
      </c>
      <c r="D128" s="317">
        <f>B128*C128</f>
        <v>5463</v>
      </c>
      <c r="H128" s="207"/>
      <c r="N128" s="50" t="s">
        <v>316</v>
      </c>
    </row>
    <row r="129" spans="1:14">
      <c r="A129" s="154" t="s">
        <v>317</v>
      </c>
      <c r="B129" s="208">
        <v>1166</v>
      </c>
      <c r="C129" s="10">
        <v>3.28</v>
      </c>
      <c r="D129" s="317">
        <f>B129*C129</f>
        <v>3824.4799999999996</v>
      </c>
      <c r="G129" s="207"/>
      <c r="N129" s="50" t="s">
        <v>318</v>
      </c>
    </row>
    <row r="130" spans="1:14">
      <c r="A130" s="154" t="s">
        <v>319</v>
      </c>
      <c r="B130" s="10">
        <v>70</v>
      </c>
      <c r="C130" s="10">
        <v>36.57</v>
      </c>
      <c r="D130" s="317">
        <f t="shared" ref="D130:D138" si="4">B130*C130</f>
        <v>2559.9</v>
      </c>
      <c r="G130" s="207"/>
      <c r="H130" s="52"/>
      <c r="I130" s="207"/>
      <c r="N130" s="50" t="s">
        <v>316</v>
      </c>
    </row>
    <row r="131" spans="1:14">
      <c r="A131" s="203" t="s">
        <v>320</v>
      </c>
      <c r="B131" s="10">
        <v>13</v>
      </c>
      <c r="C131" s="316">
        <f>19002/1808</f>
        <v>10.50995575221239</v>
      </c>
      <c r="D131" s="317">
        <f t="shared" si="4"/>
        <v>136.62942477876106</v>
      </c>
      <c r="G131" s="207"/>
      <c r="H131" s="52"/>
      <c r="J131" s="207"/>
      <c r="N131" s="50" t="s">
        <v>316</v>
      </c>
    </row>
    <row r="132" spans="1:14">
      <c r="A132" s="154" t="s">
        <v>321</v>
      </c>
      <c r="B132" s="10">
        <v>0</v>
      </c>
      <c r="C132" s="316">
        <f>22906/3748</f>
        <v>6.1115261472785489</v>
      </c>
      <c r="D132" s="317">
        <f t="shared" si="4"/>
        <v>0</v>
      </c>
      <c r="G132" s="207"/>
      <c r="H132" s="52"/>
      <c r="I132" s="52"/>
      <c r="J132" s="207"/>
      <c r="N132" s="50" t="s">
        <v>316</v>
      </c>
    </row>
    <row r="133" spans="1:14">
      <c r="A133" s="154" t="s">
        <v>322</v>
      </c>
      <c r="B133" s="10">
        <v>1</v>
      </c>
      <c r="C133" s="316">
        <f>30692/1660</f>
        <v>18.489156626506023</v>
      </c>
      <c r="D133" s="317">
        <f t="shared" si="4"/>
        <v>18.489156626506023</v>
      </c>
      <c r="G133" s="207"/>
      <c r="H133" s="170"/>
      <c r="I133" s="52"/>
      <c r="J133" s="207"/>
      <c r="N133" s="50" t="s">
        <v>316</v>
      </c>
    </row>
    <row r="134" spans="1:14">
      <c r="A134" s="203" t="s">
        <v>323</v>
      </c>
      <c r="B134" s="10">
        <v>10</v>
      </c>
      <c r="C134" s="316">
        <f>24074/3040</f>
        <v>7.9190789473684209</v>
      </c>
      <c r="D134" s="317">
        <f t="shared" si="4"/>
        <v>79.190789473684205</v>
      </c>
      <c r="G134" s="207"/>
      <c r="J134" s="207"/>
      <c r="N134" s="50" t="s">
        <v>316</v>
      </c>
    </row>
    <row r="135" spans="1:14">
      <c r="A135" s="154" t="s">
        <v>324</v>
      </c>
      <c r="B135" s="10">
        <v>0</v>
      </c>
      <c r="C135" s="316">
        <f>350/142</f>
        <v>2.464788732394366</v>
      </c>
      <c r="D135" s="317">
        <f t="shared" si="4"/>
        <v>0</v>
      </c>
      <c r="G135" s="207"/>
      <c r="J135" s="207"/>
      <c r="N135" s="50" t="s">
        <v>316</v>
      </c>
    </row>
    <row r="136" spans="1:14">
      <c r="A136" s="154" t="s">
        <v>325</v>
      </c>
      <c r="B136" s="10">
        <v>169</v>
      </c>
      <c r="C136" s="316">
        <f>4000/2172</f>
        <v>1.8416206261510129</v>
      </c>
      <c r="D136" s="317">
        <f t="shared" si="4"/>
        <v>311.23388581952116</v>
      </c>
      <c r="N136" s="50" t="s">
        <v>316</v>
      </c>
    </row>
    <row r="137" spans="1:14">
      <c r="A137" s="154" t="s">
        <v>326</v>
      </c>
      <c r="B137" s="10">
        <v>4</v>
      </c>
      <c r="C137" s="316">
        <f>AVERAGE(C130:C136)</f>
        <v>11.986589547415821</v>
      </c>
      <c r="D137" s="317">
        <f t="shared" si="4"/>
        <v>47.946358189663286</v>
      </c>
      <c r="J137" s="52"/>
      <c r="N137" s="50" t="s">
        <v>316</v>
      </c>
    </row>
    <row r="138" spans="1:14">
      <c r="A138" s="154" t="s">
        <v>327</v>
      </c>
      <c r="B138" s="10">
        <v>12</v>
      </c>
      <c r="C138" s="316">
        <f>C137</f>
        <v>11.986589547415821</v>
      </c>
      <c r="D138" s="317">
        <f t="shared" si="4"/>
        <v>143.83907456898987</v>
      </c>
      <c r="J138" s="52"/>
      <c r="N138" s="50" t="s">
        <v>316</v>
      </c>
    </row>
    <row r="139" spans="1:14">
      <c r="A139" s="156" t="s">
        <v>328</v>
      </c>
      <c r="D139" s="305">
        <f>SUM(D128:D138)</f>
        <v>12584.708689457128</v>
      </c>
    </row>
    <row r="140" spans="1:14">
      <c r="A140" s="154"/>
    </row>
    <row r="141" spans="1:14">
      <c r="A141" s="154"/>
    </row>
    <row r="142" spans="1:14">
      <c r="A142" s="203" t="s">
        <v>329</v>
      </c>
      <c r="B142" s="10">
        <v>42</v>
      </c>
      <c r="C142" s="316">
        <f>105000/2800</f>
        <v>37.5</v>
      </c>
      <c r="D142" s="303">
        <f>C142*B142</f>
        <v>1575</v>
      </c>
      <c r="N142" s="50" t="s">
        <v>316</v>
      </c>
    </row>
    <row r="143" spans="1:14">
      <c r="A143" s="154" t="s">
        <v>330</v>
      </c>
      <c r="B143" s="10">
        <v>1</v>
      </c>
      <c r="C143" s="316">
        <f>159000/1445</f>
        <v>110.03460207612457</v>
      </c>
      <c r="D143" s="303">
        <f t="shared" ref="D143:D148" si="5">C143*B143</f>
        <v>110.03460207612457</v>
      </c>
      <c r="N143" s="50" t="s">
        <v>316</v>
      </c>
    </row>
    <row r="144" spans="1:14">
      <c r="A144" s="154" t="s">
        <v>331</v>
      </c>
      <c r="B144" s="10">
        <v>3</v>
      </c>
      <c r="C144" s="316">
        <f>62000/8250</f>
        <v>7.5151515151515156</v>
      </c>
      <c r="D144" s="303">
        <f t="shared" si="5"/>
        <v>22.545454545454547</v>
      </c>
      <c r="N144" s="50" t="s">
        <v>316</v>
      </c>
    </row>
    <row r="145" spans="1:14">
      <c r="A145" s="203" t="s">
        <v>332</v>
      </c>
      <c r="B145" s="10">
        <v>12</v>
      </c>
      <c r="C145" s="316">
        <f>AVERAGE(15,30)</f>
        <v>22.5</v>
      </c>
      <c r="D145" s="303">
        <f t="shared" si="5"/>
        <v>270</v>
      </c>
      <c r="N145" s="50"/>
    </row>
    <row r="146" spans="1:14">
      <c r="A146" s="154" t="s">
        <v>333</v>
      </c>
      <c r="B146" s="10">
        <v>10</v>
      </c>
      <c r="C146" s="316">
        <f>525000/10329</f>
        <v>50.827766482718559</v>
      </c>
      <c r="D146" s="303">
        <f t="shared" si="5"/>
        <v>508.27766482718562</v>
      </c>
      <c r="N146" s="50" t="s">
        <v>316</v>
      </c>
    </row>
    <row r="147" spans="1:14">
      <c r="A147" s="154" t="s">
        <v>334</v>
      </c>
      <c r="B147" s="10">
        <v>0</v>
      </c>
      <c r="C147" s="316">
        <f>90000/4664</f>
        <v>19.296740994854204</v>
      </c>
      <c r="D147" s="303">
        <f t="shared" si="5"/>
        <v>0</v>
      </c>
      <c r="N147" s="50" t="s">
        <v>316</v>
      </c>
    </row>
    <row r="148" spans="1:14">
      <c r="A148" s="154" t="s">
        <v>335</v>
      </c>
      <c r="B148" s="10">
        <v>29</v>
      </c>
      <c r="C148" s="316">
        <f>22000/1600</f>
        <v>13.75</v>
      </c>
      <c r="D148" s="303">
        <f t="shared" si="5"/>
        <v>398.75</v>
      </c>
      <c r="N148" s="50" t="s">
        <v>316</v>
      </c>
    </row>
    <row r="149" spans="1:14">
      <c r="A149" s="156" t="s">
        <v>336</v>
      </c>
      <c r="D149" s="305">
        <f>SUM(D142:D148)</f>
        <v>2884.607721448765</v>
      </c>
    </row>
    <row r="150" spans="1:14">
      <c r="A150" s="154"/>
    </row>
    <row r="151" spans="1:14">
      <c r="A151" s="156" t="s">
        <v>337</v>
      </c>
      <c r="D151" s="302">
        <f>D149+D139</f>
        <v>15469.316410905893</v>
      </c>
    </row>
    <row r="153" spans="1:14">
      <c r="A153" s="203" t="s">
        <v>338</v>
      </c>
      <c r="B153" s="317">
        <f>F156</f>
        <v>2360.5319426536303</v>
      </c>
      <c r="E153" s="206" t="s">
        <v>308</v>
      </c>
    </row>
    <row r="154" spans="1:14" ht="45">
      <c r="A154" s="203" t="s">
        <v>339</v>
      </c>
      <c r="B154" s="317">
        <f>'Land Use Summary'!E60</f>
        <v>2150.4636999999998</v>
      </c>
      <c r="E154" s="181" t="s">
        <v>340</v>
      </c>
      <c r="F154" s="305">
        <f>'Land Use Summary'!E60</f>
        <v>2150.4636999999998</v>
      </c>
    </row>
    <row r="155" spans="1:14" ht="45">
      <c r="A155" s="203"/>
      <c r="B155" s="203"/>
      <c r="C155" s="203"/>
      <c r="E155" s="181" t="s">
        <v>310</v>
      </c>
      <c r="F155" s="313">
        <f>'Land Use Summary'!P48</f>
        <v>0.91100809149929196</v>
      </c>
    </row>
    <row r="156" spans="1:14" ht="30">
      <c r="A156" s="318" t="str">
        <f>A47&amp;" horticultural farming land"</f>
        <v>South Wairarapa District Council horticultural farming land</v>
      </c>
      <c r="B156" s="303">
        <f>'Land Use Summary'!B60</f>
        <v>1682.8588999999999</v>
      </c>
      <c r="E156" s="181" t="s">
        <v>311</v>
      </c>
      <c r="F156" s="305">
        <f>F154/F155</f>
        <v>2360.5319426536303</v>
      </c>
    </row>
    <row r="157" spans="1:14">
      <c r="A157" s="318" t="str">
        <f t="shared" ref="A157:A158" si="6">A48&amp;" horticultural farming land"</f>
        <v>Carterton District Council horticultural farming land</v>
      </c>
      <c r="B157" s="303">
        <f>'Land Use Summary'!C60</f>
        <v>301.68469999999996</v>
      </c>
    </row>
    <row r="158" spans="1:14">
      <c r="A158" s="318" t="str">
        <f t="shared" si="6"/>
        <v>Masterton District Council horticultural farming land</v>
      </c>
      <c r="B158" s="303">
        <f>'Land Use Summary'!D60</f>
        <v>165.92009999999999</v>
      </c>
    </row>
    <row r="159" spans="1:14">
      <c r="A159" s="200" t="s">
        <v>57</v>
      </c>
      <c r="B159" s="286" t="str">
        <f>IF(B154=SUM(B156:B158),"Pass","Fail")</f>
        <v>Pass</v>
      </c>
    </row>
    <row r="160" spans="1:14">
      <c r="A160" s="200"/>
      <c r="B160" s="200"/>
      <c r="C160" s="200"/>
    </row>
    <row r="161" spans="1:2">
      <c r="A161" s="154"/>
    </row>
    <row r="162" spans="1:2">
      <c r="A162" s="203" t="s">
        <v>341</v>
      </c>
      <c r="B162" s="303">
        <f>$D$151*B154/$B$153</f>
        <v>14092.672420298053</v>
      </c>
    </row>
    <row r="163" spans="1:2">
      <c r="A163" s="203"/>
    </row>
    <row r="164" spans="1:2">
      <c r="A164" s="310" t="str">
        <f>A47&amp;" freight volumes - Horticulture"</f>
        <v>South Wairarapa District Council freight volumes - Horticulture</v>
      </c>
      <c r="B164" s="303">
        <f>$D$151*B156/$B$153</f>
        <v>11028.309479152389</v>
      </c>
    </row>
    <row r="165" spans="1:2">
      <c r="A165" s="310" t="str">
        <f t="shared" ref="A165:A166" si="7">A48&amp;" freight volumes - Horticulture"</f>
        <v>Carterton District Council freight volumes - Horticulture</v>
      </c>
      <c r="B165" s="303">
        <f>$D$151*B157/$B$153</f>
        <v>1977.035767363054</v>
      </c>
    </row>
    <row r="166" spans="1:2">
      <c r="A166" s="310" t="str">
        <f t="shared" si="7"/>
        <v>Masterton District Council freight volumes - Horticulture</v>
      </c>
      <c r="B166" s="303">
        <f>$D$151*B158/$B$153</f>
        <v>1087.3271737826103</v>
      </c>
    </row>
  </sheetData>
  <sheetProtection algorithmName="SHA-512" hashValue="n0puaGF9bpkjGc92nZaurCWkQjoUT885uyADMTdNzNscTzZkYPvQzY+VskVLp9ltcFv0wXRah8Af1AYMKcGHiw==" saltValue="+8Yg1GMIknZrvp3BtO5CyA==" spinCount="100000" sheet="1" objects="1" scenarios="1"/>
  <phoneticPr fontId="55"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AH35"/>
  <sheetViews>
    <sheetView topLeftCell="B1" workbookViewId="0">
      <selection activeCell="C7" sqref="C7"/>
    </sheetView>
  </sheetViews>
  <sheetFormatPr defaultRowHeight="12.75"/>
  <cols>
    <col min="1" max="2" width="21.42578125" customWidth="1"/>
    <col min="3" max="3" width="22.28515625" customWidth="1"/>
    <col min="4" max="4" width="19.28515625" customWidth="1"/>
    <col min="5" max="5" width="24.5703125" customWidth="1"/>
    <col min="6" max="6" width="16.5703125" style="1" customWidth="1"/>
    <col min="7" max="7" width="20.85546875" customWidth="1"/>
    <col min="8" max="8" width="21.28515625" customWidth="1"/>
    <col min="9" max="9" width="19.85546875" style="1" customWidth="1"/>
    <col min="10" max="10" width="18.7109375" customWidth="1"/>
    <col min="11" max="11" width="3.28515625" customWidth="1"/>
    <col min="12" max="12" width="18.42578125" customWidth="1"/>
    <col min="13" max="13" width="3.28515625" customWidth="1"/>
    <col min="14" max="14" width="19.28515625" customWidth="1"/>
    <col min="15" max="15" width="26.5703125" customWidth="1"/>
    <col min="16" max="16" width="35.7109375" customWidth="1"/>
    <col min="18" max="18" width="21" customWidth="1"/>
    <col min="19" max="19" width="33.85546875" customWidth="1"/>
    <col min="20" max="20" width="22.5703125" customWidth="1"/>
    <col min="21" max="21" width="19.140625" bestFit="1" customWidth="1"/>
    <col min="22" max="22" width="16.7109375" customWidth="1"/>
    <col min="23" max="23" width="18.28515625" customWidth="1"/>
    <col min="24" max="24" width="22.28515625" customWidth="1"/>
    <col min="25" max="25" width="21.7109375" customWidth="1"/>
    <col min="26" max="26" width="19.7109375" customWidth="1"/>
    <col min="27" max="27" width="22" customWidth="1"/>
    <col min="28" max="28" width="16.42578125" customWidth="1"/>
  </cols>
  <sheetData>
    <row r="1" spans="1:34" ht="20.25">
      <c r="A1" s="167" t="s">
        <v>171</v>
      </c>
      <c r="B1" s="167"/>
      <c r="C1" s="167"/>
      <c r="D1" s="167"/>
      <c r="E1" s="167"/>
      <c r="F1" s="167"/>
      <c r="G1" s="167"/>
      <c r="H1" s="167"/>
      <c r="I1" s="167"/>
      <c r="J1" s="167"/>
      <c r="K1" s="167"/>
      <c r="L1" s="167"/>
    </row>
    <row r="4" spans="1:34">
      <c r="A4" s="99" t="s">
        <v>58</v>
      </c>
      <c r="B4" s="99"/>
      <c r="C4" s="99"/>
      <c r="D4" s="99"/>
      <c r="E4" s="99"/>
      <c r="F4" s="99"/>
      <c r="G4" s="99"/>
      <c r="H4" s="99"/>
      <c r="I4" s="99"/>
      <c r="J4" s="99"/>
      <c r="K4" s="99"/>
      <c r="L4" s="99"/>
      <c r="M4" s="99"/>
    </row>
    <row r="5" spans="1:34" ht="38.25">
      <c r="A5" s="107" t="s">
        <v>172</v>
      </c>
      <c r="B5" s="107" t="s">
        <v>173</v>
      </c>
      <c r="C5" s="107" t="s">
        <v>174</v>
      </c>
      <c r="D5" s="107" t="s">
        <v>175</v>
      </c>
      <c r="E5" s="102" t="s">
        <v>176</v>
      </c>
      <c r="F5" s="102" t="s">
        <v>177</v>
      </c>
      <c r="G5" s="102" t="s">
        <v>178</v>
      </c>
      <c r="H5" s="102" t="s">
        <v>179</v>
      </c>
      <c r="I5" s="102" t="s">
        <v>180</v>
      </c>
      <c r="J5" s="102" t="s">
        <v>181</v>
      </c>
      <c r="L5" s="102" t="s">
        <v>182</v>
      </c>
    </row>
    <row r="6" spans="1:34">
      <c r="A6" s="111" t="s">
        <v>78</v>
      </c>
      <c r="B6" s="276">
        <f>C6/$C$15</f>
        <v>2.0534192261995692E-2</v>
      </c>
      <c r="C6" s="277">
        <f>SUMIF('Land Use Summary'!$B$70:$B$81,A6,'Land Use Summary'!$D$70:$D$81)</f>
        <v>101294000</v>
      </c>
      <c r="D6" s="277">
        <f>SUMIF('Land Use Summary'!$B$70:$B$81,A6,'Land Use Summary'!$C$70:$C$81)</f>
        <v>195</v>
      </c>
      <c r="E6" s="277">
        <f t="shared" ref="E6:E14" si="0">ROUND((C6/$C$15)*$E$15,0)</f>
        <v>62369</v>
      </c>
      <c r="F6" s="277">
        <f>SUM(E6)</f>
        <v>62369</v>
      </c>
      <c r="G6" s="166"/>
      <c r="H6" s="278">
        <f>SUMIF('Allocate heavy v to sectors'!$A$7:$A$15,$A6,'Allocate heavy v to sectors'!$G$7:$G$15)</f>
        <v>187509</v>
      </c>
      <c r="I6" s="278">
        <f t="shared" ref="I6:I14" si="1">SUM(G6:H6)</f>
        <v>187509</v>
      </c>
      <c r="J6" s="278">
        <f>SUM(I6,F6)</f>
        <v>249878</v>
      </c>
      <c r="L6" s="287">
        <f>J6/$J$15</f>
        <v>4.7740704836354758E-2</v>
      </c>
      <c r="N6" s="197" t="s">
        <v>183</v>
      </c>
      <c r="O6" s="197"/>
      <c r="P6" s="197"/>
      <c r="Q6" s="197"/>
      <c r="R6" s="197"/>
      <c r="S6" s="197"/>
      <c r="T6" s="197"/>
      <c r="U6" s="197"/>
      <c r="V6" s="197"/>
      <c r="W6" s="197"/>
      <c r="X6" s="197"/>
      <c r="Y6" s="197"/>
      <c r="Z6" s="197"/>
      <c r="AA6" s="197"/>
      <c r="AB6" s="197"/>
      <c r="AC6" s="197"/>
      <c r="AD6" s="197"/>
      <c r="AE6" s="197"/>
      <c r="AF6" s="197"/>
      <c r="AG6" s="197"/>
      <c r="AH6" s="197"/>
    </row>
    <row r="7" spans="1:34">
      <c r="A7" s="111" t="s">
        <v>47</v>
      </c>
      <c r="B7" s="276">
        <f t="shared" ref="B7:B14" si="2">C7/$C$15</f>
        <v>3.4849378953932898E-2</v>
      </c>
      <c r="C7" s="277">
        <f>SUMIF('Land Use Summary'!$B$70:$B$81,A7,'Land Use Summary'!$D$70:$D$81)</f>
        <v>171910000</v>
      </c>
      <c r="D7" s="277">
        <f>SUMIF('Land Use Summary'!$B$70:$B$81,A7,'Land Use Summary'!$C$70:$C$81)</f>
        <v>130</v>
      </c>
      <c r="E7" s="277">
        <f t="shared" si="0"/>
        <v>105849</v>
      </c>
      <c r="F7" s="277">
        <f t="shared" ref="F7:F14" si="3">SUM(E7)</f>
        <v>105849</v>
      </c>
      <c r="G7" s="278">
        <f>SUMIF('Allocate heavy v to sectors'!$A$7:$A$15,$A7,'Allocate heavy v to sectors'!$E$7:$E$15)</f>
        <v>37534</v>
      </c>
      <c r="H7" s="166"/>
      <c r="I7" s="278">
        <f t="shared" si="1"/>
        <v>37534</v>
      </c>
      <c r="J7" s="278">
        <f>SUM(I7,F7)</f>
        <v>143383</v>
      </c>
      <c r="L7" s="287">
        <f t="shared" ref="L7:L14" si="4">J7/$J$15</f>
        <v>2.7394190291066257E-2</v>
      </c>
    </row>
    <row r="8" spans="1:34">
      <c r="A8" s="111" t="s">
        <v>43</v>
      </c>
      <c r="B8" s="276">
        <f t="shared" si="2"/>
        <v>0.28514205408715609</v>
      </c>
      <c r="C8" s="277">
        <f>SUMIF('Land Use Summary'!$B$70:$B$81,A8,'Land Use Summary'!$D$70:$D$81)</f>
        <v>1406589500</v>
      </c>
      <c r="D8" s="277">
        <f>SUMIF('Land Use Summary'!$B$70:$B$81,A8,'Land Use Summary'!$C$70:$C$81)</f>
        <v>472</v>
      </c>
      <c r="E8" s="277">
        <f t="shared" si="0"/>
        <v>866067</v>
      </c>
      <c r="F8" s="277">
        <f t="shared" si="3"/>
        <v>866067</v>
      </c>
      <c r="G8" s="278">
        <f>SUMIF('Allocate heavy v to sectors'!$A$7:$A$15,$A8,'Allocate heavy v to sectors'!$E$7:$E$15)</f>
        <v>130089</v>
      </c>
      <c r="H8" s="166"/>
      <c r="I8" s="278">
        <f t="shared" si="1"/>
        <v>130089</v>
      </c>
      <c r="J8" s="278">
        <f>SUM(I8,F8)</f>
        <v>996156</v>
      </c>
      <c r="L8" s="287">
        <f t="shared" si="4"/>
        <v>0.19032163522584544</v>
      </c>
      <c r="M8" s="3"/>
      <c r="U8" s="192" t="s">
        <v>184</v>
      </c>
      <c r="V8" s="192"/>
      <c r="W8" s="192"/>
      <c r="X8" s="192"/>
      <c r="Y8" s="192"/>
      <c r="Z8" s="192"/>
      <c r="AA8" s="192"/>
    </row>
    <row r="9" spans="1:34" ht="38.25">
      <c r="A9" s="111" t="s">
        <v>29</v>
      </c>
      <c r="B9" s="276">
        <f t="shared" si="2"/>
        <v>1.641879907868005E-2</v>
      </c>
      <c r="C9" s="277">
        <f>SUMIF('Land Use Summary'!$B$70:$B$81,A9,'Land Use Summary'!$D$70:$D$81)</f>
        <v>80993000</v>
      </c>
      <c r="D9" s="277">
        <f>SUMIF('Land Use Summary'!$B$70:$B$81,A9,'Land Use Summary'!$C$70:$C$81)</f>
        <v>36</v>
      </c>
      <c r="E9" s="277">
        <f>ROUND((C9/$C$15)*$E$15,0)</f>
        <v>49869</v>
      </c>
      <c r="F9" s="277">
        <f>SUM(E9)</f>
        <v>49869</v>
      </c>
      <c r="G9" s="278">
        <f>SUMIF('Allocate heavy v to sectors'!$A$7:$A$15,$A9,'Allocate heavy v to sectors'!$E$7:$E$15)</f>
        <v>511910</v>
      </c>
      <c r="H9" s="166"/>
      <c r="I9" s="278">
        <f t="shared" si="1"/>
        <v>511910</v>
      </c>
      <c r="J9" s="278">
        <f t="shared" ref="J9:J14" si="5">SUM(I9,F9)</f>
        <v>561779</v>
      </c>
      <c r="L9" s="287">
        <f>J9/$J$15</f>
        <v>0.10733127935337461</v>
      </c>
      <c r="M9" s="3"/>
      <c r="U9" s="102" t="s">
        <v>185</v>
      </c>
      <c r="V9" s="102" t="s">
        <v>186</v>
      </c>
      <c r="W9" s="102" t="s">
        <v>187</v>
      </c>
      <c r="X9" s="102" t="s">
        <v>188</v>
      </c>
      <c r="Y9" s="102" t="s">
        <v>189</v>
      </c>
      <c r="Z9" s="102" t="s">
        <v>190</v>
      </c>
      <c r="AA9" s="102" t="s">
        <v>191</v>
      </c>
    </row>
    <row r="10" spans="1:34">
      <c r="A10" s="111" t="s">
        <v>79</v>
      </c>
      <c r="B10" s="276">
        <f t="shared" si="2"/>
        <v>1.1368467056812036E-2</v>
      </c>
      <c r="C10" s="277">
        <f>SUMIF('Land Use Summary'!$B$70:$B$81,A10,'Land Use Summary'!$D$70:$D$81)</f>
        <v>56080000</v>
      </c>
      <c r="D10" s="277">
        <f>SUMIF('Land Use Summary'!$B$70:$B$81,A10,'Land Use Summary'!$C$70:$C$81)</f>
        <v>119</v>
      </c>
      <c r="E10" s="277">
        <f t="shared" si="0"/>
        <v>34530</v>
      </c>
      <c r="F10" s="277">
        <f t="shared" si="3"/>
        <v>34530</v>
      </c>
      <c r="G10" s="166"/>
      <c r="H10" s="278">
        <f>SUMIF('Allocate heavy v to sectors'!$A$7:$A$15,$A10,'Allocate heavy v to sectors'!$G$7:$G$15)</f>
        <v>114429</v>
      </c>
      <c r="I10" s="278">
        <f t="shared" si="1"/>
        <v>114429</v>
      </c>
      <c r="J10" s="278">
        <f t="shared" si="5"/>
        <v>148959</v>
      </c>
      <c r="L10" s="287">
        <f t="shared" si="4"/>
        <v>2.8459518852074085E-2</v>
      </c>
      <c r="M10" s="3"/>
      <c r="U10" s="289" t="str">
        <f t="shared" ref="U10:U18" si="6">A6</f>
        <v>Commercial</v>
      </c>
      <c r="V10" s="279">
        <f t="shared" ref="V10:V18" si="7">C6/1000</f>
        <v>101294</v>
      </c>
      <c r="W10" s="279">
        <f t="shared" ref="W10:W18" si="8">F6</f>
        <v>62369</v>
      </c>
      <c r="X10" s="279">
        <f t="shared" ref="X10:X18" si="9">G6</f>
        <v>0</v>
      </c>
      <c r="Y10" s="279">
        <f t="shared" ref="Y10:Y18" si="10">H6</f>
        <v>187509</v>
      </c>
      <c r="Z10" s="279">
        <f t="shared" ref="Z10:Z18" si="11">J6</f>
        <v>249878</v>
      </c>
      <c r="AA10" s="280">
        <f t="shared" ref="AA10:AA18" si="12">L6</f>
        <v>4.7740704836354758E-2</v>
      </c>
    </row>
    <row r="11" spans="1:34">
      <c r="A11" s="111" t="s">
        <v>53</v>
      </c>
      <c r="B11" s="276">
        <f t="shared" si="2"/>
        <v>0.15766531254108038</v>
      </c>
      <c r="C11" s="277">
        <f>SUMIF('Land Use Summary'!$B$70:$B$81,A11,'Land Use Summary'!$D$70:$D$81)</f>
        <v>777754000</v>
      </c>
      <c r="D11" s="277">
        <f>SUMIF('Land Use Summary'!$B$70:$B$81,A11,'Land Use Summary'!$C$70:$C$81)</f>
        <v>1528</v>
      </c>
      <c r="E11" s="277">
        <f t="shared" si="0"/>
        <v>478880</v>
      </c>
      <c r="F11" s="277">
        <f t="shared" si="3"/>
        <v>478880</v>
      </c>
      <c r="G11" s="166"/>
      <c r="H11" s="166"/>
      <c r="I11" s="278">
        <f t="shared" si="1"/>
        <v>0</v>
      </c>
      <c r="J11" s="278">
        <f t="shared" si="5"/>
        <v>478880</v>
      </c>
      <c r="L11" s="287">
        <f t="shared" si="4"/>
        <v>9.1492923474789961E-2</v>
      </c>
      <c r="M11" s="3"/>
      <c r="U11" s="289" t="str">
        <f t="shared" si="6"/>
        <v>Horticultural</v>
      </c>
      <c r="V11" s="279">
        <f t="shared" si="7"/>
        <v>171910</v>
      </c>
      <c r="W11" s="279">
        <f t="shared" si="8"/>
        <v>105849</v>
      </c>
      <c r="X11" s="279">
        <f t="shared" si="9"/>
        <v>37534</v>
      </c>
      <c r="Y11" s="279">
        <f t="shared" si="10"/>
        <v>0</v>
      </c>
      <c r="Z11" s="279">
        <f t="shared" si="11"/>
        <v>143383</v>
      </c>
      <c r="AA11" s="280">
        <f t="shared" si="12"/>
        <v>2.7394190291066257E-2</v>
      </c>
    </row>
    <row r="12" spans="1:34">
      <c r="A12" s="111" t="s">
        <v>40</v>
      </c>
      <c r="B12" s="276">
        <f t="shared" si="2"/>
        <v>0.11386042771751864</v>
      </c>
      <c r="C12" s="277">
        <f>SUMIF('Land Use Summary'!$B$70:$B$81,A12,'Land Use Summary'!$D$70:$D$81)</f>
        <v>561667000</v>
      </c>
      <c r="D12" s="277">
        <f>SUMIF('Land Use Summary'!$B$70:$B$81,A12,'Land Use Summary'!$C$70:$C$81)</f>
        <v>150</v>
      </c>
      <c r="E12" s="277">
        <f t="shared" si="0"/>
        <v>345830</v>
      </c>
      <c r="F12" s="277">
        <f t="shared" si="3"/>
        <v>345830</v>
      </c>
      <c r="G12" s="278">
        <f>SUMIF('Allocate heavy v to sectors'!$A$7:$A$15,$A12,'Allocate heavy v to sectors'!$E$7:$E$15)</f>
        <v>1215277</v>
      </c>
      <c r="H12" s="166"/>
      <c r="I12" s="278">
        <f t="shared" si="1"/>
        <v>1215277</v>
      </c>
      <c r="J12" s="278">
        <f t="shared" si="5"/>
        <v>1561107</v>
      </c>
      <c r="L12" s="287">
        <f t="shared" si="4"/>
        <v>0.29825894438472883</v>
      </c>
      <c r="M12" s="3"/>
      <c r="U12" s="289" t="str">
        <f t="shared" si="6"/>
        <v>Farming general</v>
      </c>
      <c r="V12" s="279">
        <f t="shared" si="7"/>
        <v>1406589.5</v>
      </c>
      <c r="W12" s="279">
        <f t="shared" si="8"/>
        <v>866067</v>
      </c>
      <c r="X12" s="279">
        <f t="shared" si="9"/>
        <v>130089</v>
      </c>
      <c r="Y12" s="279">
        <f t="shared" si="10"/>
        <v>0</v>
      </c>
      <c r="Z12" s="279">
        <f t="shared" si="11"/>
        <v>996156</v>
      </c>
      <c r="AA12" s="280">
        <f t="shared" si="12"/>
        <v>0.19032163522584544</v>
      </c>
    </row>
    <row r="13" spans="1:34">
      <c r="A13" s="111" t="s">
        <v>50</v>
      </c>
      <c r="B13" s="276">
        <f t="shared" si="2"/>
        <v>1.8808143532408922E-2</v>
      </c>
      <c r="C13" s="277">
        <f>SUMIF('Land Use Summary'!$B$70:$B$81,A13,'Land Use Summary'!$D$70:$D$81)</f>
        <v>92779500</v>
      </c>
      <c r="D13" s="277">
        <f>SUMIF('Land Use Summary'!$B$70:$B$81,A13,'Land Use Summary'!$C$70:$C$81)</f>
        <v>206</v>
      </c>
      <c r="E13" s="277">
        <f t="shared" si="0"/>
        <v>57126</v>
      </c>
      <c r="F13" s="277">
        <f t="shared" si="3"/>
        <v>57126</v>
      </c>
      <c r="G13" s="166"/>
      <c r="H13" s="166"/>
      <c r="I13" s="278">
        <f t="shared" si="1"/>
        <v>0</v>
      </c>
      <c r="J13" s="278">
        <f t="shared" si="5"/>
        <v>57126</v>
      </c>
      <c r="L13" s="287">
        <f t="shared" si="4"/>
        <v>1.0914268180798638E-2</v>
      </c>
      <c r="M13" s="3"/>
      <c r="U13" s="289" t="str">
        <f t="shared" si="6"/>
        <v>Forestry</v>
      </c>
      <c r="V13" s="279">
        <f t="shared" si="7"/>
        <v>80993</v>
      </c>
      <c r="W13" s="279">
        <f t="shared" si="8"/>
        <v>49869</v>
      </c>
      <c r="X13" s="279">
        <f t="shared" si="9"/>
        <v>511910</v>
      </c>
      <c r="Y13" s="279">
        <f t="shared" si="10"/>
        <v>0</v>
      </c>
      <c r="Z13" s="279">
        <f t="shared" si="11"/>
        <v>561779</v>
      </c>
      <c r="AA13" s="280">
        <f t="shared" si="12"/>
        <v>0.10733127935337461</v>
      </c>
    </row>
    <row r="14" spans="1:34">
      <c r="A14" s="111" t="s">
        <v>82</v>
      </c>
      <c r="B14" s="276">
        <f t="shared" si="2"/>
        <v>0.3413532247704153</v>
      </c>
      <c r="C14" s="277">
        <f>SUMIF('Land Use Summary'!$B$70:$B$81,A14,'Land Use Summary'!$D$70:$D$81)</f>
        <v>1683876001</v>
      </c>
      <c r="D14" s="277">
        <f>SUMIF('Land Use Summary'!$B$70:$B$81,A14,'Land Use Summary'!$C$70:$C$81)</f>
        <v>4690</v>
      </c>
      <c r="E14" s="277">
        <f t="shared" si="0"/>
        <v>1036798</v>
      </c>
      <c r="F14" s="277">
        <f t="shared" si="3"/>
        <v>1036798</v>
      </c>
      <c r="G14" s="166"/>
      <c r="H14" s="278">
        <f>SUMIF('Allocate heavy v to sectors'!$A$7:$A$15,$A14,'Allocate heavy v to sectors'!$G$7:$G$15)</f>
        <v>0</v>
      </c>
      <c r="I14" s="278">
        <f t="shared" si="1"/>
        <v>0</v>
      </c>
      <c r="J14" s="278">
        <f t="shared" si="5"/>
        <v>1036798</v>
      </c>
      <c r="L14" s="287">
        <f t="shared" si="4"/>
        <v>0.19808653540096743</v>
      </c>
      <c r="M14" s="3"/>
      <c r="U14" s="289" t="str">
        <f t="shared" si="6"/>
        <v>Industrial</v>
      </c>
      <c r="V14" s="279">
        <f t="shared" si="7"/>
        <v>56080</v>
      </c>
      <c r="W14" s="279">
        <f t="shared" si="8"/>
        <v>34530</v>
      </c>
      <c r="X14" s="279">
        <f t="shared" si="9"/>
        <v>0</v>
      </c>
      <c r="Y14" s="279">
        <f t="shared" si="10"/>
        <v>114429</v>
      </c>
      <c r="Z14" s="279">
        <f t="shared" si="11"/>
        <v>148959</v>
      </c>
      <c r="AA14" s="280">
        <f t="shared" si="12"/>
        <v>2.8459518852074085E-2</v>
      </c>
    </row>
    <row r="15" spans="1:34">
      <c r="A15" s="110" t="s">
        <v>71</v>
      </c>
      <c r="B15" s="283">
        <f>SUM(B6:B14)</f>
        <v>1</v>
      </c>
      <c r="C15" s="284">
        <f>SUM(C6:C14)</f>
        <v>4932943001</v>
      </c>
      <c r="D15" s="284">
        <f>SUM(D6:D14)</f>
        <v>7526</v>
      </c>
      <c r="E15" s="284">
        <f>'Allocation urban and rural'!J45</f>
        <v>3037317.5466185883</v>
      </c>
      <c r="F15" s="284">
        <f>SUM(E15:E15)</f>
        <v>3037317.5466185883</v>
      </c>
      <c r="G15" s="285">
        <f>SUM(G6:G14)</f>
        <v>1894810</v>
      </c>
      <c r="H15" s="285">
        <f>SUM(H6:H14)</f>
        <v>301938</v>
      </c>
      <c r="I15" s="285">
        <f>SUM(I6:I14)</f>
        <v>2196748</v>
      </c>
      <c r="J15" s="285">
        <f>SUM(J6:J14)</f>
        <v>5234066</v>
      </c>
      <c r="L15" s="288">
        <f>SUM(L6:L14)</f>
        <v>1</v>
      </c>
      <c r="M15" s="3"/>
      <c r="U15" s="289" t="str">
        <f t="shared" si="6"/>
        <v>Lifestyle</v>
      </c>
      <c r="V15" s="279">
        <f t="shared" si="7"/>
        <v>777754</v>
      </c>
      <c r="W15" s="279">
        <f t="shared" si="8"/>
        <v>478880</v>
      </c>
      <c r="X15" s="279">
        <f t="shared" si="9"/>
        <v>0</v>
      </c>
      <c r="Y15" s="279">
        <f t="shared" si="10"/>
        <v>0</v>
      </c>
      <c r="Z15" s="279">
        <f t="shared" si="11"/>
        <v>478880</v>
      </c>
      <c r="AA15" s="280">
        <f t="shared" si="12"/>
        <v>9.1492923474789961E-2</v>
      </c>
    </row>
    <row r="16" spans="1:34" ht="15">
      <c r="A16" s="109" t="s">
        <v>57</v>
      </c>
      <c r="B16" s="286" t="str">
        <f>IF(B15=100%,"Pass","Fail")</f>
        <v>Pass</v>
      </c>
      <c r="C16" s="286" t="str">
        <f>IF(C15='Land Use Summary'!D82,"Pass","Fail")</f>
        <v>Pass</v>
      </c>
      <c r="D16" s="286" t="str">
        <f>IF(D15='Land Use Summary'!C82,"Pass","Fail")</f>
        <v>Pass</v>
      </c>
      <c r="G16" s="286" t="str">
        <f>IF(G15='Allocate heavy v to sectors'!E16,"Pass","Fail")</f>
        <v>Pass</v>
      </c>
      <c r="H16" s="286" t="str">
        <f>IF(H15='Allocate heavy v to sectors'!G16,"Pass","Fail")</f>
        <v>Pass</v>
      </c>
      <c r="L16" s="286" t="str">
        <f>IF(L15=100%,"Pass","Fail")</f>
        <v>Pass</v>
      </c>
      <c r="U16" s="289" t="str">
        <f t="shared" si="6"/>
        <v>Dairy</v>
      </c>
      <c r="V16" s="279">
        <f t="shared" si="7"/>
        <v>561667</v>
      </c>
      <c r="W16" s="279">
        <f t="shared" si="8"/>
        <v>345830</v>
      </c>
      <c r="X16" s="279">
        <f t="shared" si="9"/>
        <v>1215277</v>
      </c>
      <c r="Y16" s="279">
        <f t="shared" si="10"/>
        <v>0</v>
      </c>
      <c r="Z16" s="279">
        <f t="shared" si="11"/>
        <v>1561107</v>
      </c>
      <c r="AA16" s="280">
        <f t="shared" si="12"/>
        <v>0.29825894438472883</v>
      </c>
    </row>
    <row r="17" spans="2:28">
      <c r="B17" s="165" t="s">
        <v>192</v>
      </c>
      <c r="U17" s="289" t="str">
        <f t="shared" si="6"/>
        <v>Other</v>
      </c>
      <c r="V17" s="279">
        <f t="shared" si="7"/>
        <v>92779.5</v>
      </c>
      <c r="W17" s="279">
        <f t="shared" si="8"/>
        <v>57126</v>
      </c>
      <c r="X17" s="279">
        <f t="shared" si="9"/>
        <v>0</v>
      </c>
      <c r="Y17" s="279">
        <f t="shared" si="10"/>
        <v>0</v>
      </c>
      <c r="Z17" s="279">
        <f t="shared" si="11"/>
        <v>57126</v>
      </c>
      <c r="AA17" s="280">
        <f t="shared" si="12"/>
        <v>1.0914268180798638E-2</v>
      </c>
    </row>
    <row r="18" spans="2:28">
      <c r="N18" s="192" t="s">
        <v>193</v>
      </c>
      <c r="O18" s="192"/>
      <c r="P18" s="192"/>
      <c r="R18" s="192" t="s">
        <v>194</v>
      </c>
      <c r="S18" s="192"/>
      <c r="U18" s="289" t="str">
        <f t="shared" si="6"/>
        <v>Residential</v>
      </c>
      <c r="V18" s="279">
        <f t="shared" si="7"/>
        <v>1683876.0009999999</v>
      </c>
      <c r="W18" s="279">
        <f t="shared" si="8"/>
        <v>1036798</v>
      </c>
      <c r="X18" s="279">
        <f t="shared" si="9"/>
        <v>0</v>
      </c>
      <c r="Y18" s="279">
        <f t="shared" si="10"/>
        <v>0</v>
      </c>
      <c r="Z18" s="279">
        <f t="shared" si="11"/>
        <v>1036798</v>
      </c>
      <c r="AA18" s="280">
        <f t="shared" si="12"/>
        <v>0.19808653540096743</v>
      </c>
    </row>
    <row r="19" spans="2:28">
      <c r="B19" s="107" t="s">
        <v>150</v>
      </c>
      <c r="C19" s="107" t="s">
        <v>148</v>
      </c>
      <c r="N19" s="101" t="s">
        <v>195</v>
      </c>
      <c r="O19" s="107" t="s">
        <v>196</v>
      </c>
      <c r="P19" s="107" t="s">
        <v>197</v>
      </c>
      <c r="R19" s="102" t="s">
        <v>198</v>
      </c>
      <c r="S19" s="107" t="s">
        <v>199</v>
      </c>
      <c r="U19" s="193" t="s">
        <v>71</v>
      </c>
      <c r="V19" s="281">
        <f t="shared" ref="V19:AA19" si="13">SUM(V10:V18)</f>
        <v>4932943.0010000002</v>
      </c>
      <c r="W19" s="281">
        <f t="shared" si="13"/>
        <v>3037318</v>
      </c>
      <c r="X19" s="281">
        <f t="shared" si="13"/>
        <v>1894810</v>
      </c>
      <c r="Y19" s="281">
        <f t="shared" si="13"/>
        <v>301938</v>
      </c>
      <c r="Z19" s="281">
        <f t="shared" si="13"/>
        <v>5234066</v>
      </c>
      <c r="AA19" s="282">
        <f t="shared" si="13"/>
        <v>1</v>
      </c>
    </row>
    <row r="20" spans="2:28">
      <c r="B20" s="290">
        <f>G15</f>
        <v>1894810</v>
      </c>
      <c r="C20" s="290">
        <f>H15</f>
        <v>301938</v>
      </c>
      <c r="N20" s="289" t="str">
        <f t="shared" ref="N20:N28" si="14">A6</f>
        <v>Commercial</v>
      </c>
      <c r="O20" s="291">
        <f t="shared" ref="O20:O28" si="15">B6</f>
        <v>2.0534192261995692E-2</v>
      </c>
      <c r="P20" s="292">
        <f t="shared" ref="P20:P28" si="16">F6</f>
        <v>62369</v>
      </c>
      <c r="R20" s="289" t="str">
        <f>A7</f>
        <v>Horticultural</v>
      </c>
      <c r="S20" s="292">
        <f>G7</f>
        <v>37534</v>
      </c>
    </row>
    <row r="21" spans="2:28">
      <c r="N21" s="289" t="str">
        <f t="shared" si="14"/>
        <v>Horticultural</v>
      </c>
      <c r="O21" s="291">
        <f t="shared" si="15"/>
        <v>3.4849378953932898E-2</v>
      </c>
      <c r="P21" s="292">
        <f t="shared" si="16"/>
        <v>105849</v>
      </c>
      <c r="R21" s="289" t="str">
        <f>A8</f>
        <v>Farming general</v>
      </c>
      <c r="S21" s="292">
        <f>G8</f>
        <v>130089</v>
      </c>
    </row>
    <row r="22" spans="2:28">
      <c r="N22" s="289" t="str">
        <f t="shared" si="14"/>
        <v>Farming general</v>
      </c>
      <c r="O22" s="291">
        <f t="shared" si="15"/>
        <v>0.28514205408715609</v>
      </c>
      <c r="P22" s="292">
        <f t="shared" si="16"/>
        <v>866067</v>
      </c>
      <c r="R22" s="289" t="str">
        <f>A9</f>
        <v>Forestry</v>
      </c>
      <c r="S22" s="292">
        <f>G9</f>
        <v>511910</v>
      </c>
      <c r="Z22" s="222"/>
      <c r="AA22" s="222"/>
      <c r="AB22" s="223"/>
    </row>
    <row r="23" spans="2:28">
      <c r="N23" s="289" t="str">
        <f t="shared" si="14"/>
        <v>Forestry</v>
      </c>
      <c r="O23" s="291">
        <f t="shared" si="15"/>
        <v>1.641879907868005E-2</v>
      </c>
      <c r="P23" s="292">
        <f t="shared" si="16"/>
        <v>49869</v>
      </c>
      <c r="R23" s="289" t="str">
        <f>A12</f>
        <v>Dairy</v>
      </c>
      <c r="S23" s="292">
        <f>G12</f>
        <v>1215277</v>
      </c>
      <c r="Z23" s="222"/>
      <c r="AA23" s="222"/>
      <c r="AB23" s="223"/>
    </row>
    <row r="24" spans="2:28">
      <c r="N24" s="289" t="str">
        <f t="shared" si="14"/>
        <v>Industrial</v>
      </c>
      <c r="O24" s="291">
        <f t="shared" si="15"/>
        <v>1.1368467056812036E-2</v>
      </c>
      <c r="P24" s="292">
        <f t="shared" si="16"/>
        <v>34530</v>
      </c>
      <c r="R24" s="193" t="s">
        <v>71</v>
      </c>
      <c r="S24" s="281">
        <f>SUM(S20:S23)</f>
        <v>1894810</v>
      </c>
      <c r="Z24" s="222"/>
      <c r="AA24" s="222"/>
      <c r="AB24" s="223"/>
    </row>
    <row r="25" spans="2:28">
      <c r="N25" s="289" t="str">
        <f t="shared" si="14"/>
        <v>Lifestyle</v>
      </c>
      <c r="O25" s="291">
        <f t="shared" si="15"/>
        <v>0.15766531254108038</v>
      </c>
      <c r="P25" s="292">
        <f t="shared" si="16"/>
        <v>478880</v>
      </c>
      <c r="Z25" s="222"/>
      <c r="AA25" s="222"/>
      <c r="AB25" s="223"/>
    </row>
    <row r="26" spans="2:28">
      <c r="N26" s="289" t="str">
        <f t="shared" si="14"/>
        <v>Dairy</v>
      </c>
      <c r="O26" s="291">
        <f t="shared" si="15"/>
        <v>0.11386042771751864</v>
      </c>
      <c r="P26" s="292">
        <f t="shared" si="16"/>
        <v>345830</v>
      </c>
      <c r="Z26" s="222"/>
      <c r="AA26" s="222"/>
      <c r="AB26" s="223"/>
    </row>
    <row r="27" spans="2:28">
      <c r="N27" s="289" t="str">
        <f t="shared" si="14"/>
        <v>Other</v>
      </c>
      <c r="O27" s="291">
        <f t="shared" si="15"/>
        <v>1.8808143532408922E-2</v>
      </c>
      <c r="P27" s="292">
        <f t="shared" si="16"/>
        <v>57126</v>
      </c>
      <c r="Z27" s="222"/>
      <c r="AA27" s="222"/>
      <c r="AB27" s="223"/>
    </row>
    <row r="28" spans="2:28">
      <c r="N28" s="289" t="str">
        <f t="shared" si="14"/>
        <v>Residential</v>
      </c>
      <c r="O28" s="291">
        <f t="shared" si="15"/>
        <v>0.3413532247704153</v>
      </c>
      <c r="P28" s="292">
        <f t="shared" si="16"/>
        <v>1036798</v>
      </c>
      <c r="Z28" s="222"/>
      <c r="AA28" s="222"/>
      <c r="AB28" s="223"/>
    </row>
    <row r="29" spans="2:28">
      <c r="N29" s="193" t="s">
        <v>56</v>
      </c>
      <c r="O29" s="293">
        <f>SUM(O20:O28)</f>
        <v>1</v>
      </c>
      <c r="P29" s="294">
        <f>SUM(P20:P28)</f>
        <v>3037318</v>
      </c>
      <c r="Z29" s="222"/>
      <c r="AA29" s="222"/>
      <c r="AB29" s="223"/>
    </row>
    <row r="30" spans="2:28">
      <c r="Z30" s="222"/>
      <c r="AA30" s="222"/>
      <c r="AB30" s="223"/>
    </row>
    <row r="31" spans="2:28">
      <c r="N31" s="192" t="s">
        <v>200</v>
      </c>
      <c r="O31" s="192"/>
      <c r="P31" s="192"/>
    </row>
    <row r="32" spans="2:28">
      <c r="N32" s="101" t="s">
        <v>195</v>
      </c>
      <c r="O32" s="107" t="s">
        <v>201</v>
      </c>
      <c r="P32" s="107" t="s">
        <v>202</v>
      </c>
    </row>
    <row r="33" spans="14:16">
      <c r="N33" s="289" t="str">
        <f>A6</f>
        <v>Commercial</v>
      </c>
      <c r="O33" s="295">
        <f>D6</f>
        <v>195</v>
      </c>
      <c r="P33" s="292">
        <f>H6</f>
        <v>187509</v>
      </c>
    </row>
    <row r="34" spans="14:16">
      <c r="N34" s="289" t="str">
        <f>A10</f>
        <v>Industrial</v>
      </c>
      <c r="O34" s="295">
        <f>D10</f>
        <v>119</v>
      </c>
      <c r="P34" s="292">
        <f>H10</f>
        <v>114429</v>
      </c>
    </row>
    <row r="35" spans="14:16">
      <c r="N35" s="193" t="s">
        <v>71</v>
      </c>
      <c r="O35" s="296">
        <f>SUM(O33:O34)</f>
        <v>314</v>
      </c>
      <c r="P35" s="281">
        <f>SUM(P33:P34)</f>
        <v>301938</v>
      </c>
    </row>
  </sheetData>
  <sheetProtection algorithmName="SHA-512" hashValue="oyhicbbP3qQQPo8oxoNKHsQhh55qdan/ftWr0JeUd1wGdxhm85HII9PVzyqRBaIdWDYrxKh/BHGd6CxRfSP9wQ==" saltValue="ANx7E55TzfKgURoy7BhgjQ==" spinCount="100000" sheet="1" objects="1" scenarios="1"/>
  <phoneticPr fontId="7" type="noConversion"/>
  <printOptions gridLines="1"/>
  <pageMargins left="0.74803149606299213" right="0.74803149606299213" top="0.98425196850393704" bottom="0.98425196850393704" header="0.51181102362204722" footer="0.51181102362204722"/>
  <pageSetup paperSize="8" scale="30" orientation="landscape" horizontalDpi="4294967293"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1C551-4585-4323-92E9-EF814BF918A6}">
  <sheetPr>
    <tabColor theme="8"/>
  </sheetPr>
  <dimension ref="A2:O35"/>
  <sheetViews>
    <sheetView topLeftCell="A15" workbookViewId="0"/>
  </sheetViews>
  <sheetFormatPr defaultRowHeight="12.75"/>
  <cols>
    <col min="1" max="1" width="38.5703125" bestFit="1" customWidth="1"/>
    <col min="2" max="2" width="30.5703125" bestFit="1" customWidth="1"/>
    <col min="3" max="3" width="20" customWidth="1"/>
    <col min="4" max="4" width="53.42578125" bestFit="1" customWidth="1"/>
    <col min="5" max="5" width="14" bestFit="1" customWidth="1"/>
    <col min="6" max="14" width="13.140625" bestFit="1" customWidth="1"/>
  </cols>
  <sheetData>
    <row r="2" spans="1:15">
      <c r="A2" s="99" t="s">
        <v>203</v>
      </c>
      <c r="B2" s="99"/>
      <c r="C2" s="99"/>
      <c r="D2" s="99"/>
      <c r="E2" s="99"/>
      <c r="F2" s="99"/>
      <c r="G2" s="99"/>
      <c r="H2" s="99"/>
      <c r="I2" s="99"/>
      <c r="J2" s="99"/>
      <c r="K2" s="99"/>
      <c r="L2" s="99"/>
      <c r="M2" s="99"/>
      <c r="N2" s="99"/>
      <c r="O2" s="99"/>
    </row>
    <row r="4" spans="1:15" ht="42.75" customHeight="1">
      <c r="A4" s="115" t="s">
        <v>204</v>
      </c>
      <c r="B4" s="115" t="s">
        <v>205</v>
      </c>
      <c r="C4" s="116" t="s">
        <v>206</v>
      </c>
      <c r="D4" s="115" t="s">
        <v>207</v>
      </c>
      <c r="E4" s="117" t="s">
        <v>208</v>
      </c>
      <c r="F4" s="117" t="s">
        <v>209</v>
      </c>
      <c r="G4" s="117" t="s">
        <v>210</v>
      </c>
      <c r="H4" s="117" t="s">
        <v>211</v>
      </c>
      <c r="I4" s="117" t="s">
        <v>212</v>
      </c>
      <c r="J4" s="117" t="s">
        <v>213</v>
      </c>
      <c r="K4" s="117" t="s">
        <v>214</v>
      </c>
      <c r="L4" s="117" t="s">
        <v>215</v>
      </c>
      <c r="M4" s="117" t="s">
        <v>216</v>
      </c>
      <c r="N4" s="117" t="s">
        <v>217</v>
      </c>
    </row>
    <row r="5" spans="1:15" ht="16.5">
      <c r="A5" s="118" t="s">
        <v>218</v>
      </c>
      <c r="B5" s="118" t="s">
        <v>219</v>
      </c>
      <c r="C5" s="118">
        <v>114</v>
      </c>
      <c r="D5" s="118" t="s">
        <v>109</v>
      </c>
      <c r="E5" s="119">
        <v>176036</v>
      </c>
      <c r="F5" s="119">
        <v>188359</v>
      </c>
      <c r="G5" s="120">
        <v>199659</v>
      </c>
      <c r="H5" s="119">
        <v>197095</v>
      </c>
      <c r="I5" s="119">
        <v>201857</v>
      </c>
      <c r="J5" s="119">
        <v>206437</v>
      </c>
      <c r="K5" s="119">
        <v>210833</v>
      </c>
      <c r="L5" s="119">
        <v>215230</v>
      </c>
      <c r="M5" s="119">
        <v>219809</v>
      </c>
      <c r="N5" s="119">
        <v>224205</v>
      </c>
    </row>
    <row r="6" spans="1:15" ht="16.5">
      <c r="A6" s="118"/>
      <c r="B6" s="118"/>
      <c r="C6" s="118">
        <v>121</v>
      </c>
      <c r="D6" s="118" t="s">
        <v>110</v>
      </c>
      <c r="E6" s="119">
        <v>909274</v>
      </c>
      <c r="F6" s="119">
        <v>972921</v>
      </c>
      <c r="G6" s="120">
        <v>1031299</v>
      </c>
      <c r="H6" s="119">
        <v>1018052</v>
      </c>
      <c r="I6" s="119">
        <v>1042651</v>
      </c>
      <c r="J6" s="119">
        <v>1066305</v>
      </c>
      <c r="K6" s="119">
        <v>1089013</v>
      </c>
      <c r="L6" s="119">
        <v>1111720</v>
      </c>
      <c r="M6" s="119">
        <v>1135374</v>
      </c>
      <c r="N6" s="119">
        <v>1158082</v>
      </c>
    </row>
    <row r="7" spans="1:15" ht="16.5">
      <c r="A7" s="118"/>
      <c r="B7" s="118"/>
      <c r="C7" s="118">
        <v>122</v>
      </c>
      <c r="D7" s="118" t="s">
        <v>112</v>
      </c>
      <c r="E7" s="119">
        <v>277321</v>
      </c>
      <c r="F7" s="119">
        <v>296734</v>
      </c>
      <c r="G7" s="120">
        <v>314536</v>
      </c>
      <c r="H7" s="119">
        <v>310499</v>
      </c>
      <c r="I7" s="119">
        <v>318002</v>
      </c>
      <c r="J7" s="119">
        <v>325216</v>
      </c>
      <c r="K7" s="119">
        <v>332141</v>
      </c>
      <c r="L7" s="119">
        <v>339066</v>
      </c>
      <c r="M7" s="119">
        <v>346281</v>
      </c>
      <c r="N7" s="119">
        <v>353206</v>
      </c>
    </row>
    <row r="8" spans="1:15" ht="16.5">
      <c r="A8" s="118"/>
      <c r="B8" s="118"/>
      <c r="C8" s="118">
        <v>123</v>
      </c>
      <c r="D8" s="118" t="s">
        <v>158</v>
      </c>
      <c r="E8" s="119">
        <v>0</v>
      </c>
      <c r="F8" s="119">
        <v>0</v>
      </c>
      <c r="G8" s="120">
        <v>0</v>
      </c>
      <c r="H8" s="119">
        <v>0</v>
      </c>
      <c r="I8" s="119">
        <v>0</v>
      </c>
      <c r="J8" s="119">
        <v>0</v>
      </c>
      <c r="K8" s="119">
        <v>0</v>
      </c>
      <c r="L8" s="119">
        <v>0</v>
      </c>
      <c r="M8" s="119">
        <v>0</v>
      </c>
      <c r="N8" s="119">
        <v>0</v>
      </c>
    </row>
    <row r="9" spans="1:15" ht="16.5">
      <c r="A9" s="118"/>
      <c r="B9" s="118"/>
      <c r="C9" s="118">
        <v>131</v>
      </c>
      <c r="D9" s="118" t="s">
        <v>115</v>
      </c>
      <c r="E9" s="119">
        <v>39785</v>
      </c>
      <c r="F9" s="119">
        <v>42568</v>
      </c>
      <c r="G9" s="120">
        <v>45124</v>
      </c>
      <c r="H9" s="119">
        <v>44544</v>
      </c>
      <c r="I9" s="119">
        <v>45621</v>
      </c>
      <c r="J9" s="119">
        <v>46656</v>
      </c>
      <c r="K9" s="119">
        <v>47649</v>
      </c>
      <c r="L9" s="119">
        <v>48643</v>
      </c>
      <c r="M9" s="119">
        <v>49678</v>
      </c>
      <c r="N9" s="119">
        <v>50671</v>
      </c>
    </row>
    <row r="10" spans="1:15" ht="16.5">
      <c r="A10" s="118"/>
      <c r="B10" s="118"/>
      <c r="C10" s="118">
        <v>140</v>
      </c>
      <c r="D10" s="118" t="s">
        <v>116</v>
      </c>
      <c r="E10" s="119">
        <v>296170</v>
      </c>
      <c r="F10" s="119">
        <v>316901</v>
      </c>
      <c r="G10" s="120">
        <v>335918</v>
      </c>
      <c r="H10" s="119">
        <v>331603</v>
      </c>
      <c r="I10" s="119">
        <v>339615</v>
      </c>
      <c r="J10" s="119">
        <v>347320</v>
      </c>
      <c r="K10" s="119">
        <v>354716</v>
      </c>
      <c r="L10" s="119">
        <v>362113</v>
      </c>
      <c r="M10" s="119">
        <v>369817</v>
      </c>
      <c r="N10" s="119">
        <v>377214</v>
      </c>
    </row>
    <row r="11" spans="1:15" ht="16.5">
      <c r="A11" s="118"/>
      <c r="B11" s="118"/>
      <c r="C11" s="118">
        <v>151</v>
      </c>
      <c r="D11" s="118" t="s">
        <v>118</v>
      </c>
      <c r="E11" s="119">
        <v>1667482</v>
      </c>
      <c r="F11" s="119">
        <v>1759599</v>
      </c>
      <c r="G11" s="120">
        <v>1866202</v>
      </c>
      <c r="H11" s="119">
        <v>1720522</v>
      </c>
      <c r="I11" s="119">
        <v>1757558</v>
      </c>
      <c r="J11" s="119">
        <v>1796013</v>
      </c>
      <c r="K11" s="119">
        <v>1832582</v>
      </c>
      <c r="L11" s="119">
        <v>1872142</v>
      </c>
      <c r="M11" s="119">
        <v>1914778</v>
      </c>
      <c r="N11" s="119">
        <v>1949907</v>
      </c>
    </row>
    <row r="12" spans="1:15" ht="16.5">
      <c r="A12" s="118"/>
      <c r="B12" s="118"/>
      <c r="C12" s="118">
        <v>215</v>
      </c>
      <c r="D12" s="118" t="s">
        <v>129</v>
      </c>
      <c r="E12" s="119">
        <v>181773</v>
      </c>
      <c r="F12" s="119">
        <v>194048</v>
      </c>
      <c r="G12" s="120">
        <v>206418</v>
      </c>
      <c r="H12" s="119">
        <v>204530</v>
      </c>
      <c r="I12" s="119">
        <v>209304</v>
      </c>
      <c r="J12" s="119">
        <v>213894</v>
      </c>
      <c r="K12" s="119">
        <v>218300</v>
      </c>
      <c r="L12" s="119">
        <v>222707</v>
      </c>
      <c r="M12" s="119">
        <v>227297</v>
      </c>
      <c r="N12" s="119">
        <v>231703</v>
      </c>
    </row>
    <row r="13" spans="1:15" ht="16.5">
      <c r="A13" s="118"/>
      <c r="B13" s="118"/>
      <c r="C13" s="118">
        <v>221</v>
      </c>
      <c r="D13" s="118" t="s">
        <v>130</v>
      </c>
      <c r="E13" s="119">
        <v>0</v>
      </c>
      <c r="F13" s="119">
        <v>0</v>
      </c>
      <c r="G13" s="120">
        <v>0</v>
      </c>
      <c r="H13" s="119">
        <v>0</v>
      </c>
      <c r="I13" s="119">
        <v>0</v>
      </c>
      <c r="J13" s="119">
        <v>0</v>
      </c>
      <c r="K13" s="119">
        <v>0</v>
      </c>
      <c r="L13" s="119">
        <v>0</v>
      </c>
      <c r="M13" s="119">
        <v>0</v>
      </c>
      <c r="N13" s="119">
        <v>0</v>
      </c>
    </row>
    <row r="14" spans="1:15" ht="16.5">
      <c r="A14" s="118"/>
      <c r="B14" s="118"/>
      <c r="C14" s="118">
        <v>222</v>
      </c>
      <c r="D14" s="118" t="s">
        <v>157</v>
      </c>
      <c r="E14" s="119">
        <v>600730</v>
      </c>
      <c r="F14" s="119">
        <v>642783</v>
      </c>
      <c r="G14" s="120">
        <v>681347</v>
      </c>
      <c r="H14" s="119">
        <v>679540</v>
      </c>
      <c r="I14" s="119">
        <v>695400</v>
      </c>
      <c r="J14" s="119">
        <v>710650</v>
      </c>
      <c r="K14" s="119">
        <v>725290</v>
      </c>
      <c r="L14" s="119">
        <v>739930</v>
      </c>
      <c r="M14" s="119">
        <v>755180</v>
      </c>
      <c r="N14" s="119">
        <v>769820</v>
      </c>
    </row>
    <row r="15" spans="1:15" ht="16.5">
      <c r="A15" s="118"/>
      <c r="B15" s="126" t="s">
        <v>220</v>
      </c>
      <c r="C15" s="126"/>
      <c r="D15" s="126"/>
      <c r="E15" s="121">
        <v>4148571</v>
      </c>
      <c r="F15" s="121">
        <v>4413913</v>
      </c>
      <c r="G15" s="121">
        <v>4680503</v>
      </c>
      <c r="H15" s="121">
        <v>4506385</v>
      </c>
      <c r="I15" s="121">
        <v>4610008</v>
      </c>
      <c r="J15" s="121">
        <v>4712491</v>
      </c>
      <c r="K15" s="121">
        <v>4810524</v>
      </c>
      <c r="L15" s="121">
        <v>4911551</v>
      </c>
      <c r="M15" s="121">
        <v>5018214</v>
      </c>
      <c r="N15" s="121">
        <v>5114808</v>
      </c>
    </row>
    <row r="16" spans="1:15" ht="16.5">
      <c r="A16" s="118" t="s">
        <v>221</v>
      </c>
      <c r="B16" s="118" t="s">
        <v>222</v>
      </c>
      <c r="C16" s="118">
        <v>111</v>
      </c>
      <c r="D16" s="118" t="s">
        <v>103</v>
      </c>
      <c r="E16" s="119">
        <v>1149594</v>
      </c>
      <c r="F16" s="119">
        <v>1230193</v>
      </c>
      <c r="G16" s="120">
        <v>1303870</v>
      </c>
      <c r="H16" s="119">
        <v>1287124</v>
      </c>
      <c r="I16" s="119">
        <v>1318226</v>
      </c>
      <c r="J16" s="119">
        <v>1348130</v>
      </c>
      <c r="K16" s="119">
        <v>1376840</v>
      </c>
      <c r="L16" s="119">
        <v>1405549</v>
      </c>
      <c r="M16" s="119">
        <v>1435455</v>
      </c>
      <c r="N16" s="119">
        <v>1464163</v>
      </c>
    </row>
    <row r="17" spans="1:14" ht="16.5">
      <c r="A17" s="118"/>
      <c r="B17" s="118"/>
      <c r="C17" s="118">
        <v>112</v>
      </c>
      <c r="D17" s="118" t="s">
        <v>105</v>
      </c>
      <c r="E17" s="119">
        <v>555228</v>
      </c>
      <c r="F17" s="119">
        <v>594093</v>
      </c>
      <c r="G17" s="120">
        <v>629739</v>
      </c>
      <c r="H17" s="119">
        <v>621652</v>
      </c>
      <c r="I17" s="119">
        <v>636672</v>
      </c>
      <c r="J17" s="119">
        <v>651117</v>
      </c>
      <c r="K17" s="119">
        <v>664982</v>
      </c>
      <c r="L17" s="119">
        <v>678848</v>
      </c>
      <c r="M17" s="119">
        <v>693291</v>
      </c>
      <c r="N17" s="119">
        <v>707157</v>
      </c>
    </row>
    <row r="18" spans="1:14" ht="16.5">
      <c r="A18" s="118"/>
      <c r="B18" s="118"/>
      <c r="C18" s="118">
        <v>113</v>
      </c>
      <c r="D18" s="118" t="s">
        <v>107</v>
      </c>
      <c r="E18" s="119">
        <v>1254754</v>
      </c>
      <c r="F18" s="119">
        <v>1342587</v>
      </c>
      <c r="G18" s="120">
        <v>1423143</v>
      </c>
      <c r="H18" s="119">
        <v>1404863</v>
      </c>
      <c r="I18" s="119">
        <v>1438811</v>
      </c>
      <c r="J18" s="119">
        <v>1471453</v>
      </c>
      <c r="K18" s="119">
        <v>1502787</v>
      </c>
      <c r="L18" s="119">
        <v>1534123</v>
      </c>
      <c r="M18" s="119">
        <v>1566763</v>
      </c>
      <c r="N18" s="119">
        <v>1598099</v>
      </c>
    </row>
    <row r="19" spans="1:14" ht="16.5">
      <c r="A19" s="118"/>
      <c r="B19" s="118"/>
      <c r="C19" s="118">
        <v>211</v>
      </c>
      <c r="D19" s="118" t="s">
        <v>153</v>
      </c>
      <c r="E19" s="119">
        <v>1087941</v>
      </c>
      <c r="F19" s="119">
        <v>1164098</v>
      </c>
      <c r="G19" s="120">
        <v>1233944</v>
      </c>
      <c r="H19" s="119">
        <v>1242110</v>
      </c>
      <c r="I19" s="119">
        <v>1271100</v>
      </c>
      <c r="J19" s="119">
        <v>1298975</v>
      </c>
      <c r="K19" s="119">
        <v>1325735</v>
      </c>
      <c r="L19" s="119">
        <v>1352495</v>
      </c>
      <c r="M19" s="119">
        <v>1380370</v>
      </c>
      <c r="N19" s="119">
        <v>1407130</v>
      </c>
    </row>
    <row r="20" spans="1:14" ht="16.5">
      <c r="A20" s="118"/>
      <c r="B20" s="118"/>
      <c r="C20" s="118">
        <v>212</v>
      </c>
      <c r="D20" s="118" t="s">
        <v>154</v>
      </c>
      <c r="E20" s="119">
        <v>1414800</v>
      </c>
      <c r="F20" s="119">
        <v>1389135</v>
      </c>
      <c r="G20" s="120">
        <v>1313805</v>
      </c>
      <c r="H20" s="119">
        <v>1786856</v>
      </c>
      <c r="I20" s="119">
        <v>1828560</v>
      </c>
      <c r="J20" s="119">
        <v>1868660</v>
      </c>
      <c r="K20" s="119">
        <v>2204406</v>
      </c>
      <c r="L20" s="119">
        <v>2248902</v>
      </c>
      <c r="M20" s="119">
        <v>2295252</v>
      </c>
      <c r="N20" s="119">
        <v>2339748</v>
      </c>
    </row>
    <row r="21" spans="1:14" ht="16.5">
      <c r="A21" s="118"/>
      <c r="B21" s="118"/>
      <c r="C21" s="118">
        <v>213</v>
      </c>
      <c r="D21" s="118" t="s">
        <v>155</v>
      </c>
      <c r="E21" s="119">
        <v>532790</v>
      </c>
      <c r="F21" s="119">
        <v>570085</v>
      </c>
      <c r="G21" s="120">
        <v>604290</v>
      </c>
      <c r="H21" s="119">
        <v>601114</v>
      </c>
      <c r="I21" s="119">
        <v>615144</v>
      </c>
      <c r="J21" s="119">
        <v>628634</v>
      </c>
      <c r="K21" s="119">
        <v>641584</v>
      </c>
      <c r="L21" s="119">
        <v>654535</v>
      </c>
      <c r="M21" s="119">
        <v>668025</v>
      </c>
      <c r="N21" s="119">
        <v>680975</v>
      </c>
    </row>
    <row r="22" spans="1:14" ht="16.5">
      <c r="A22" s="118"/>
      <c r="B22" s="118"/>
      <c r="C22" s="118">
        <v>214</v>
      </c>
      <c r="D22" s="118" t="s">
        <v>156</v>
      </c>
      <c r="E22" s="119">
        <v>3229200</v>
      </c>
      <c r="F22" s="119">
        <v>3455488</v>
      </c>
      <c r="G22" s="120">
        <v>3662808</v>
      </c>
      <c r="H22" s="119">
        <v>3598475</v>
      </c>
      <c r="I22" s="119">
        <v>3682200</v>
      </c>
      <c r="J22" s="119">
        <v>3762950</v>
      </c>
      <c r="K22" s="119">
        <v>3840470</v>
      </c>
      <c r="L22" s="119">
        <v>3917990</v>
      </c>
      <c r="M22" s="119">
        <v>3998740</v>
      </c>
      <c r="N22" s="119">
        <v>4076260</v>
      </c>
    </row>
    <row r="23" spans="1:14" ht="16.5">
      <c r="A23" s="118"/>
      <c r="B23" s="126" t="s">
        <v>223</v>
      </c>
      <c r="C23" s="126"/>
      <c r="D23" s="126"/>
      <c r="E23" s="121">
        <v>9224307</v>
      </c>
      <c r="F23" s="121">
        <v>9745679</v>
      </c>
      <c r="G23" s="122">
        <v>10171599</v>
      </c>
      <c r="H23" s="121">
        <v>10542194</v>
      </c>
      <c r="I23" s="121">
        <v>10790713</v>
      </c>
      <c r="J23" s="121">
        <v>11029919</v>
      </c>
      <c r="K23" s="121">
        <v>11556804</v>
      </c>
      <c r="L23" s="121">
        <v>11792442</v>
      </c>
      <c r="M23" s="121">
        <v>12037896</v>
      </c>
      <c r="N23" s="121">
        <v>12273532</v>
      </c>
    </row>
    <row r="24" spans="1:14" ht="16.5">
      <c r="A24" s="118" t="s">
        <v>224</v>
      </c>
      <c r="B24" s="118" t="s">
        <v>225</v>
      </c>
      <c r="C24" s="118">
        <v>124</v>
      </c>
      <c r="D24" s="118" t="s">
        <v>113</v>
      </c>
      <c r="E24" s="119">
        <v>10000</v>
      </c>
      <c r="F24" s="119">
        <v>10000</v>
      </c>
      <c r="G24" s="120">
        <v>10000</v>
      </c>
      <c r="H24" s="119">
        <v>0</v>
      </c>
      <c r="I24" s="119">
        <v>0</v>
      </c>
      <c r="J24" s="119">
        <v>0</v>
      </c>
      <c r="K24" s="119">
        <v>0</v>
      </c>
      <c r="L24" s="119">
        <v>0</v>
      </c>
      <c r="M24" s="119">
        <v>0</v>
      </c>
      <c r="N24" s="119">
        <v>0</v>
      </c>
    </row>
    <row r="25" spans="1:14" ht="16.5">
      <c r="A25" s="118"/>
      <c r="B25" s="118"/>
      <c r="C25" s="118">
        <v>125</v>
      </c>
      <c r="D25" s="118" t="s">
        <v>114</v>
      </c>
      <c r="E25" s="119">
        <v>109607</v>
      </c>
      <c r="F25" s="119">
        <v>117280</v>
      </c>
      <c r="G25" s="120">
        <v>124317</v>
      </c>
      <c r="H25" s="119">
        <v>126161</v>
      </c>
      <c r="I25" s="119">
        <v>129210</v>
      </c>
      <c r="J25" s="119">
        <v>132141</v>
      </c>
      <c r="K25" s="119">
        <v>134955</v>
      </c>
      <c r="L25" s="119">
        <v>137769</v>
      </c>
      <c r="M25" s="119">
        <v>140700</v>
      </c>
      <c r="N25" s="119">
        <v>143514</v>
      </c>
    </row>
    <row r="26" spans="1:14" ht="16.5">
      <c r="A26" s="118"/>
      <c r="B26" s="118"/>
      <c r="C26" s="118">
        <v>224</v>
      </c>
      <c r="D26" s="118" t="s">
        <v>131</v>
      </c>
      <c r="E26" s="119">
        <v>250</v>
      </c>
      <c r="F26" s="119">
        <v>255</v>
      </c>
      <c r="G26" s="120">
        <v>0</v>
      </c>
      <c r="H26" s="119">
        <v>0</v>
      </c>
      <c r="I26" s="119">
        <v>0</v>
      </c>
      <c r="J26" s="119">
        <v>0</v>
      </c>
      <c r="K26" s="119">
        <v>0</v>
      </c>
      <c r="L26" s="119">
        <v>0</v>
      </c>
      <c r="M26" s="119">
        <v>0</v>
      </c>
      <c r="N26" s="119">
        <v>0</v>
      </c>
    </row>
    <row r="27" spans="1:14" ht="16.5">
      <c r="A27" s="118"/>
      <c r="B27" s="118"/>
      <c r="C27" s="118">
        <v>225</v>
      </c>
      <c r="D27" s="118" t="s">
        <v>132</v>
      </c>
      <c r="E27" s="119">
        <v>633167</v>
      </c>
      <c r="F27" s="119">
        <v>677487</v>
      </c>
      <c r="G27" s="120">
        <v>718137</v>
      </c>
      <c r="H27" s="119">
        <v>719087</v>
      </c>
      <c r="I27" s="119">
        <v>735870</v>
      </c>
      <c r="J27" s="119">
        <v>752008</v>
      </c>
      <c r="K27" s="119">
        <v>767500</v>
      </c>
      <c r="L27" s="119">
        <v>782992</v>
      </c>
      <c r="M27" s="119">
        <v>799129</v>
      </c>
      <c r="N27" s="119">
        <v>814621</v>
      </c>
    </row>
    <row r="28" spans="1:14" ht="16.5">
      <c r="A28" s="118"/>
      <c r="B28" s="126" t="s">
        <v>226</v>
      </c>
      <c r="C28" s="126"/>
      <c r="D28" s="126"/>
      <c r="E28" s="121">
        <v>753024</v>
      </c>
      <c r="F28" s="121">
        <v>805022</v>
      </c>
      <c r="G28" s="122">
        <v>852454</v>
      </c>
      <c r="H28" s="121">
        <v>845248</v>
      </c>
      <c r="I28" s="121">
        <v>865080</v>
      </c>
      <c r="J28" s="121">
        <v>884149</v>
      </c>
      <c r="K28" s="121">
        <v>902455</v>
      </c>
      <c r="L28" s="121">
        <v>920761</v>
      </c>
      <c r="M28" s="121">
        <v>939829</v>
      </c>
      <c r="N28" s="121">
        <v>958135</v>
      </c>
    </row>
    <row r="29" spans="1:14" ht="16.5">
      <c r="A29" s="118" t="s">
        <v>227</v>
      </c>
      <c r="B29" s="118" t="s">
        <v>228</v>
      </c>
      <c r="C29" s="118">
        <v>216</v>
      </c>
      <c r="D29" s="118" t="s">
        <v>160</v>
      </c>
      <c r="E29" s="119">
        <v>100000</v>
      </c>
      <c r="F29" s="119">
        <v>900000</v>
      </c>
      <c r="G29" s="119">
        <v>0</v>
      </c>
      <c r="H29" s="119">
        <v>0</v>
      </c>
      <c r="I29" s="119">
        <v>1169469</v>
      </c>
      <c r="J29" s="119">
        <v>0</v>
      </c>
      <c r="K29" s="119">
        <v>297250</v>
      </c>
      <c r="L29" s="119">
        <v>548943</v>
      </c>
      <c r="M29" s="119">
        <v>0</v>
      </c>
      <c r="N29" s="119">
        <v>0</v>
      </c>
    </row>
    <row r="30" spans="1:14" ht="17.25" thickBot="1">
      <c r="A30" s="118"/>
      <c r="B30" s="126" t="s">
        <v>229</v>
      </c>
      <c r="C30" s="126"/>
      <c r="D30" s="126"/>
      <c r="E30" s="121">
        <v>100000</v>
      </c>
      <c r="F30" s="121">
        <v>900000</v>
      </c>
      <c r="G30" s="121">
        <v>0</v>
      </c>
      <c r="H30" s="121">
        <v>0</v>
      </c>
      <c r="I30" s="121">
        <v>1169469</v>
      </c>
      <c r="J30" s="121">
        <v>0</v>
      </c>
      <c r="K30" s="121">
        <v>297250</v>
      </c>
      <c r="L30" s="121">
        <v>548943</v>
      </c>
      <c r="M30" s="121">
        <v>0</v>
      </c>
      <c r="N30" s="121">
        <v>0</v>
      </c>
    </row>
    <row r="31" spans="1:14" ht="15" thickTop="1">
      <c r="A31" s="123"/>
      <c r="B31" s="127" t="s">
        <v>26</v>
      </c>
      <c r="C31" s="127"/>
      <c r="D31" s="127"/>
      <c r="E31" s="124">
        <v>14225902</v>
      </c>
      <c r="F31" s="124">
        <v>15864614</v>
      </c>
      <c r="G31" s="124">
        <v>15704556</v>
      </c>
      <c r="H31" s="124">
        <v>15893827</v>
      </c>
      <c r="I31" s="124">
        <v>17435270</v>
      </c>
      <c r="J31" s="124">
        <v>16626559</v>
      </c>
      <c r="K31" s="124">
        <v>17567033</v>
      </c>
      <c r="L31" s="124">
        <v>18173697</v>
      </c>
      <c r="M31" s="124">
        <v>17995939</v>
      </c>
      <c r="N31" s="124">
        <v>18346475</v>
      </c>
    </row>
    <row r="32" spans="1:14" ht="16.5">
      <c r="C32">
        <v>141</v>
      </c>
      <c r="D32" t="s">
        <v>230</v>
      </c>
      <c r="E32" s="119">
        <v>6184000</v>
      </c>
      <c r="F32" s="119">
        <v>0</v>
      </c>
      <c r="G32" s="120">
        <v>0</v>
      </c>
      <c r="H32" s="119">
        <v>0</v>
      </c>
      <c r="I32" s="119">
        <v>0</v>
      </c>
      <c r="J32" s="119">
        <v>0</v>
      </c>
      <c r="K32" s="119">
        <v>0</v>
      </c>
      <c r="L32" s="119">
        <v>0</v>
      </c>
      <c r="M32" s="119">
        <v>0</v>
      </c>
      <c r="N32" s="119">
        <v>0</v>
      </c>
    </row>
    <row r="33" spans="3:14" ht="16.5">
      <c r="C33">
        <v>341</v>
      </c>
      <c r="D33" s="5" t="s">
        <v>161</v>
      </c>
      <c r="E33" s="119">
        <v>973852</v>
      </c>
      <c r="F33" s="119">
        <v>5536982</v>
      </c>
      <c r="G33" s="120">
        <v>6288449</v>
      </c>
      <c r="H33" s="119">
        <v>2031772</v>
      </c>
      <c r="I33" s="119">
        <v>6411192</v>
      </c>
      <c r="J33" s="119">
        <v>6551787</v>
      </c>
      <c r="K33" s="119">
        <v>2168561</v>
      </c>
      <c r="L33" s="119">
        <v>6821733</v>
      </c>
      <c r="M33" s="119">
        <v>6962328</v>
      </c>
      <c r="N33" s="119">
        <v>2301702</v>
      </c>
    </row>
    <row r="34" spans="3:14" ht="16.5">
      <c r="C34">
        <v>432</v>
      </c>
      <c r="D34" t="s">
        <v>159</v>
      </c>
      <c r="E34" s="119">
        <v>250000</v>
      </c>
      <c r="F34" s="119">
        <v>264000</v>
      </c>
      <c r="G34" s="120">
        <v>285000</v>
      </c>
      <c r="H34" s="119">
        <v>291502</v>
      </c>
      <c r="I34" s="119">
        <v>298546</v>
      </c>
      <c r="J34" s="119">
        <v>305319</v>
      </c>
      <c r="K34" s="119">
        <v>311821</v>
      </c>
      <c r="L34" s="119">
        <v>318323</v>
      </c>
      <c r="M34" s="119">
        <v>325096</v>
      </c>
      <c r="N34" s="119">
        <v>331598</v>
      </c>
    </row>
    <row r="35" spans="3:14" ht="16.5">
      <c r="E35" s="125">
        <v>21633754</v>
      </c>
      <c r="F35" s="125">
        <v>21665596</v>
      </c>
      <c r="G35" s="125">
        <v>22278005</v>
      </c>
      <c r="H35" s="125">
        <v>18217101</v>
      </c>
      <c r="I35" s="125">
        <v>24145008</v>
      </c>
      <c r="J35" s="125">
        <v>23483665</v>
      </c>
      <c r="K35" s="125">
        <v>20047415</v>
      </c>
      <c r="L35" s="125">
        <v>25313753</v>
      </c>
      <c r="M35" s="125">
        <v>25283363</v>
      </c>
      <c r="N35" s="125">
        <v>20979775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C401-B8BB-4096-8FD7-3092F232BA24}">
  <sheetPr>
    <tabColor theme="3"/>
  </sheetPr>
  <dimension ref="A2:A5"/>
  <sheetViews>
    <sheetView workbookViewId="0">
      <selection activeCell="D41" sqref="D41:E41"/>
    </sheetView>
  </sheetViews>
  <sheetFormatPr defaultColWidth="9.140625" defaultRowHeight="12.75"/>
  <cols>
    <col min="1" max="16384" width="9.140625" style="22"/>
  </cols>
  <sheetData>
    <row r="2" spans="1:1">
      <c r="A2" s="22" t="s">
        <v>342</v>
      </c>
    </row>
    <row r="3" spans="1:1">
      <c r="A3" s="25" t="s">
        <v>343</v>
      </c>
    </row>
    <row r="4" spans="1:1">
      <c r="A4" s="25"/>
    </row>
    <row r="5" spans="1:1">
      <c r="A5" s="158" t="s">
        <v>344</v>
      </c>
    </row>
  </sheetData>
  <sheetProtection algorithmName="SHA-512" hashValue="FTCvQQLEy7fyubOece8mF867td2bcD/e4zpy1SxJv9qHqiMdhFG4FHaXTToE5v+Ot0zlC6BzXNB+kGD96jG5Aw==" saltValue="xKtIfFtmYr/8qL1SAi3rOA==" spinCount="100000" sheet="1" objects="1" scenarios="1"/>
  <hyperlinks>
    <hyperlink ref="A3" r:id="rId1" display="https://www.nzta.govt.nz/partners/planning-and-investment/learning-and-resources/transport-data/funding-and-transport-dashboard-and-open-data" xr:uid="{A085A68D-CAD1-4504-9E84-65DFBACF0683}"/>
    <hyperlink ref="A5" r:id="rId2" xr:uid="{18889FD8-DCF5-47FB-A9C2-76699DDCFA8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667F-CE69-4E16-88F6-3CC8011570DD}">
  <sheetPr>
    <tabColor theme="3"/>
  </sheetPr>
  <dimension ref="A2:P176"/>
  <sheetViews>
    <sheetView workbookViewId="0">
      <selection activeCell="E16" sqref="E16"/>
    </sheetView>
  </sheetViews>
  <sheetFormatPr defaultColWidth="9.140625" defaultRowHeight="12.75"/>
  <cols>
    <col min="1" max="1" width="33" style="22" customWidth="1"/>
    <col min="2" max="2" width="22.85546875" style="22" customWidth="1"/>
    <col min="3" max="3" width="18.140625" style="22" customWidth="1"/>
    <col min="4" max="4" width="9.140625" style="22"/>
    <col min="5" max="5" width="12.42578125" style="22" bestFit="1" customWidth="1"/>
    <col min="6" max="7" width="9.140625" style="22"/>
    <col min="8" max="8" width="17.7109375" style="22" customWidth="1"/>
    <col min="9" max="9" width="20.7109375" style="22" customWidth="1"/>
    <col min="10" max="10" width="15.85546875" style="22" customWidth="1"/>
    <col min="11" max="11" width="18.5703125" style="22" customWidth="1"/>
    <col min="12" max="12" width="9.140625" style="22"/>
    <col min="13" max="13" width="18.85546875" style="22" customWidth="1"/>
    <col min="14" max="16384" width="9.140625" style="22"/>
  </cols>
  <sheetData>
    <row r="2" spans="1:16">
      <c r="A2" s="23" t="s">
        <v>234</v>
      </c>
      <c r="B2" s="23"/>
      <c r="C2" s="23"/>
      <c r="D2" s="23"/>
      <c r="E2" s="23"/>
      <c r="F2" s="23"/>
      <c r="G2" s="23"/>
      <c r="H2" s="23"/>
      <c r="I2" s="23"/>
      <c r="J2" s="23"/>
      <c r="K2" s="23"/>
      <c r="L2" s="23"/>
    </row>
    <row r="4" spans="1:16">
      <c r="A4" s="24" t="s">
        <v>345</v>
      </c>
      <c r="B4" s="25" t="s">
        <v>346</v>
      </c>
    </row>
    <row r="5" spans="1:16">
      <c r="A5" s="24" t="s">
        <v>347</v>
      </c>
      <c r="B5" s="25" t="s">
        <v>348</v>
      </c>
    </row>
    <row r="6" spans="1:16">
      <c r="A6" s="24" t="s">
        <v>349</v>
      </c>
      <c r="B6" s="24" t="s">
        <v>350</v>
      </c>
    </row>
    <row r="7" spans="1:16" ht="13.5" thickBot="1"/>
    <row r="8" spans="1:16" ht="17.25" customHeight="1">
      <c r="A8" s="26" t="s">
        <v>351</v>
      </c>
      <c r="B8" s="27"/>
      <c r="C8" s="27"/>
      <c r="D8" s="27"/>
      <c r="E8" s="27"/>
      <c r="F8" s="27"/>
      <c r="G8" s="27"/>
      <c r="H8" s="28" t="s">
        <v>352</v>
      </c>
      <c r="I8" s="27"/>
      <c r="J8" s="27"/>
      <c r="K8" s="27"/>
      <c r="L8" s="27"/>
      <c r="M8" s="27"/>
      <c r="N8" s="27"/>
      <c r="O8" s="29"/>
      <c r="P8" s="30"/>
    </row>
    <row r="9" spans="1:16" ht="15">
      <c r="A9" s="31"/>
      <c r="B9" s="32"/>
      <c r="C9" s="32"/>
      <c r="D9" s="32"/>
      <c r="E9" s="32"/>
      <c r="F9" s="32"/>
      <c r="G9" s="32"/>
      <c r="H9" s="32"/>
      <c r="I9" s="32"/>
      <c r="J9" s="32"/>
      <c r="K9" s="32"/>
      <c r="L9" s="32"/>
      <c r="M9" s="32"/>
      <c r="N9" s="32"/>
      <c r="P9" s="33"/>
    </row>
    <row r="10" spans="1:16" ht="15.75">
      <c r="A10" s="34" t="s">
        <v>353</v>
      </c>
      <c r="B10" s="32"/>
      <c r="C10" s="32"/>
      <c r="D10" s="32"/>
      <c r="E10" s="32"/>
      <c r="F10" s="32"/>
      <c r="G10" s="32"/>
      <c r="H10" s="35" t="s">
        <v>354</v>
      </c>
      <c r="I10" s="32"/>
      <c r="J10" s="32"/>
      <c r="K10" s="32"/>
      <c r="L10" s="32"/>
      <c r="M10" s="32"/>
      <c r="N10" s="32"/>
      <c r="P10" s="33"/>
    </row>
    <row r="11" spans="1:16" ht="15">
      <c r="A11" s="36" t="s">
        <v>355</v>
      </c>
      <c r="B11" s="32"/>
      <c r="C11" s="32"/>
      <c r="D11" s="32"/>
      <c r="E11" s="32"/>
      <c r="F11" s="32"/>
      <c r="G11" s="32"/>
      <c r="H11" s="35" t="s">
        <v>356</v>
      </c>
      <c r="I11" s="32"/>
      <c r="J11" s="32"/>
      <c r="K11" s="32"/>
      <c r="L11" s="32"/>
      <c r="M11" s="32"/>
      <c r="N11" s="32"/>
      <c r="P11" s="33"/>
    </row>
    <row r="12" spans="1:16" ht="15">
      <c r="A12" s="36" t="s">
        <v>357</v>
      </c>
      <c r="B12" s="32"/>
      <c r="C12" s="32"/>
      <c r="D12" s="32"/>
      <c r="E12" s="32"/>
      <c r="F12" s="32"/>
      <c r="G12" s="32"/>
      <c r="H12" s="35" t="s">
        <v>358</v>
      </c>
      <c r="I12" s="32"/>
      <c r="J12" s="32"/>
      <c r="K12" s="32"/>
      <c r="L12" s="32"/>
      <c r="M12" s="32"/>
      <c r="N12" s="32"/>
      <c r="P12" s="33"/>
    </row>
    <row r="13" spans="1:16" ht="15">
      <c r="A13" s="36"/>
      <c r="B13" s="32"/>
      <c r="C13" s="32"/>
      <c r="D13" s="32"/>
      <c r="E13" s="32"/>
      <c r="F13" s="32"/>
      <c r="G13" s="32"/>
      <c r="H13" s="35"/>
      <c r="I13" s="32"/>
      <c r="J13" s="32"/>
      <c r="K13" s="32"/>
      <c r="L13" s="32"/>
      <c r="M13" s="32"/>
      <c r="N13" s="32"/>
      <c r="P13" s="33"/>
    </row>
    <row r="14" spans="1:16" ht="15">
      <c r="A14" s="36" t="s">
        <v>359</v>
      </c>
      <c r="B14" s="37" t="s">
        <v>360</v>
      </c>
      <c r="C14" s="37" t="s">
        <v>361</v>
      </c>
      <c r="D14" s="37" t="s">
        <v>362</v>
      </c>
      <c r="E14" s="32"/>
      <c r="F14" s="32"/>
      <c r="G14" s="32"/>
      <c r="H14" s="35" t="s">
        <v>359</v>
      </c>
      <c r="I14" s="37" t="s">
        <v>363</v>
      </c>
      <c r="J14" s="37" t="s">
        <v>232</v>
      </c>
      <c r="K14" s="37" t="s">
        <v>364</v>
      </c>
      <c r="L14" s="37" t="s">
        <v>232</v>
      </c>
      <c r="M14" s="37" t="s">
        <v>364</v>
      </c>
      <c r="N14" s="37" t="s">
        <v>232</v>
      </c>
      <c r="P14" s="33"/>
    </row>
    <row r="15" spans="1:16" ht="15">
      <c r="A15" s="36" t="s">
        <v>365</v>
      </c>
      <c r="B15" s="37" t="s">
        <v>366</v>
      </c>
      <c r="C15" s="37" t="s">
        <v>366</v>
      </c>
      <c r="D15" s="37" t="s">
        <v>366</v>
      </c>
      <c r="E15" s="32"/>
      <c r="F15" s="32"/>
      <c r="G15" s="32"/>
      <c r="H15" s="35" t="s">
        <v>365</v>
      </c>
      <c r="I15" s="37" t="s">
        <v>367</v>
      </c>
      <c r="J15" s="37" t="s">
        <v>368</v>
      </c>
      <c r="K15" s="37" t="s">
        <v>367</v>
      </c>
      <c r="L15" s="37" t="s">
        <v>368</v>
      </c>
      <c r="M15" s="37" t="s">
        <v>367</v>
      </c>
      <c r="N15" s="37" t="s">
        <v>368</v>
      </c>
      <c r="P15" s="33"/>
    </row>
    <row r="16" spans="1:16" ht="15.75">
      <c r="A16" s="31"/>
      <c r="B16" s="37" t="s">
        <v>369</v>
      </c>
      <c r="C16" s="37" t="s">
        <v>369</v>
      </c>
      <c r="D16" s="37" t="s">
        <v>369</v>
      </c>
      <c r="E16" s="32"/>
      <c r="F16" s="32"/>
      <c r="G16" s="32"/>
      <c r="H16" s="32"/>
      <c r="I16" s="37" t="s">
        <v>370</v>
      </c>
      <c r="J16" s="37" t="s">
        <v>371</v>
      </c>
      <c r="K16" s="37" t="s">
        <v>372</v>
      </c>
      <c r="L16" s="37" t="s">
        <v>371</v>
      </c>
      <c r="M16" s="37" t="s">
        <v>373</v>
      </c>
      <c r="N16" s="37" t="s">
        <v>371</v>
      </c>
      <c r="P16" s="33"/>
    </row>
    <row r="17" spans="1:16" ht="15">
      <c r="A17" s="36">
        <v>2021</v>
      </c>
      <c r="B17" s="38">
        <v>599</v>
      </c>
      <c r="C17" s="38">
        <v>728</v>
      </c>
      <c r="D17" s="38" t="s">
        <v>374</v>
      </c>
      <c r="E17" s="32"/>
      <c r="F17" s="32"/>
      <c r="G17" s="32"/>
      <c r="H17" s="35">
        <v>2021</v>
      </c>
      <c r="I17" s="38" t="s">
        <v>375</v>
      </c>
      <c r="J17" s="37">
        <v>29</v>
      </c>
      <c r="K17" s="38" t="s">
        <v>375</v>
      </c>
      <c r="L17" s="37">
        <v>30</v>
      </c>
      <c r="M17" s="38" t="s">
        <v>375</v>
      </c>
      <c r="N17" s="37">
        <v>29</v>
      </c>
      <c r="P17" s="33"/>
    </row>
    <row r="18" spans="1:16" ht="15">
      <c r="A18" s="36">
        <v>2022</v>
      </c>
      <c r="B18" s="38">
        <v>748</v>
      </c>
      <c r="C18" s="38" t="s">
        <v>376</v>
      </c>
      <c r="D18" s="38" t="s">
        <v>377</v>
      </c>
      <c r="E18" s="32"/>
      <c r="F18" s="32"/>
      <c r="G18" s="32"/>
      <c r="H18" s="35">
        <v>2022</v>
      </c>
      <c r="I18" s="38" t="s">
        <v>378</v>
      </c>
      <c r="J18" s="37">
        <v>30</v>
      </c>
      <c r="K18" s="38" t="s">
        <v>379</v>
      </c>
      <c r="L18" s="37">
        <v>30</v>
      </c>
      <c r="M18" s="38" t="s">
        <v>380</v>
      </c>
      <c r="N18" s="37">
        <v>30</v>
      </c>
      <c r="P18" s="33"/>
    </row>
    <row r="19" spans="1:16" ht="15">
      <c r="A19" s="36">
        <v>2023</v>
      </c>
      <c r="B19" s="38">
        <v>716</v>
      </c>
      <c r="C19" s="38" t="s">
        <v>381</v>
      </c>
      <c r="D19" s="38" t="s">
        <v>382</v>
      </c>
      <c r="E19" s="32"/>
      <c r="F19" s="32"/>
      <c r="G19" s="32"/>
      <c r="H19" s="35">
        <v>2023</v>
      </c>
      <c r="I19" s="38" t="s">
        <v>378</v>
      </c>
      <c r="J19" s="37">
        <v>29</v>
      </c>
      <c r="K19" s="38" t="s">
        <v>379</v>
      </c>
      <c r="L19" s="37">
        <v>30</v>
      </c>
      <c r="M19" s="38" t="s">
        <v>383</v>
      </c>
      <c r="N19" s="37">
        <v>29</v>
      </c>
      <c r="P19" s="33"/>
    </row>
    <row r="20" spans="1:16" ht="15">
      <c r="A20" s="36">
        <v>2024</v>
      </c>
      <c r="B20" s="38">
        <v>602</v>
      </c>
      <c r="C20" s="38">
        <v>869</v>
      </c>
      <c r="D20" s="38" t="s">
        <v>384</v>
      </c>
      <c r="E20" s="32"/>
      <c r="F20" s="32"/>
      <c r="G20" s="32"/>
      <c r="H20" s="35">
        <v>2024</v>
      </c>
      <c r="I20" s="38" t="s">
        <v>378</v>
      </c>
      <c r="J20" s="37">
        <v>30</v>
      </c>
      <c r="K20" s="38" t="s">
        <v>379</v>
      </c>
      <c r="L20" s="37">
        <v>30</v>
      </c>
      <c r="M20" s="38" t="s">
        <v>383</v>
      </c>
      <c r="N20" s="37">
        <v>30</v>
      </c>
      <c r="P20" s="33"/>
    </row>
    <row r="21" spans="1:16" ht="15">
      <c r="A21" s="36">
        <v>2025</v>
      </c>
      <c r="B21" s="38">
        <v>691</v>
      </c>
      <c r="C21" s="38">
        <v>378</v>
      </c>
      <c r="D21" s="132">
        <v>1068</v>
      </c>
      <c r="E21" s="274">
        <f>D21*1000</f>
        <v>1068000</v>
      </c>
      <c r="F21" s="32"/>
      <c r="G21" s="32"/>
      <c r="H21" s="35">
        <v>2025</v>
      </c>
      <c r="I21" s="38" t="s">
        <v>378</v>
      </c>
      <c r="J21" s="37">
        <v>30</v>
      </c>
      <c r="K21" s="38" t="s">
        <v>379</v>
      </c>
      <c r="L21" s="37">
        <v>30</v>
      </c>
      <c r="M21" s="38" t="s">
        <v>383</v>
      </c>
      <c r="N21" s="37">
        <v>30</v>
      </c>
      <c r="P21" s="33"/>
    </row>
    <row r="22" spans="1:16" ht="15">
      <c r="A22" s="128">
        <v>2026</v>
      </c>
      <c r="B22" s="129">
        <v>595</v>
      </c>
      <c r="C22" s="129">
        <v>320</v>
      </c>
      <c r="D22" s="132">
        <v>914</v>
      </c>
      <c r="E22" s="275">
        <f>D22*1000</f>
        <v>914000</v>
      </c>
      <c r="F22" s="32"/>
      <c r="G22" s="32"/>
      <c r="H22" s="130">
        <v>2026</v>
      </c>
      <c r="I22" s="129" t="s">
        <v>378</v>
      </c>
      <c r="J22" s="131">
        <v>29</v>
      </c>
      <c r="K22" s="129" t="s">
        <v>379</v>
      </c>
      <c r="L22" s="131">
        <v>29</v>
      </c>
      <c r="M22" s="129" t="s">
        <v>383</v>
      </c>
      <c r="N22" s="131">
        <v>29</v>
      </c>
      <c r="P22" s="33"/>
    </row>
    <row r="23" spans="1:16" ht="15">
      <c r="A23" s="36">
        <v>2027</v>
      </c>
      <c r="B23" s="38">
        <v>547</v>
      </c>
      <c r="C23" s="38">
        <v>387</v>
      </c>
      <c r="D23" s="132">
        <v>934</v>
      </c>
      <c r="E23" s="275">
        <f t="shared" ref="E23:E32" si="0">D23*1000</f>
        <v>934000</v>
      </c>
      <c r="F23" s="209"/>
      <c r="G23" s="32"/>
      <c r="H23" s="35">
        <v>2027</v>
      </c>
      <c r="I23" s="38" t="s">
        <v>378</v>
      </c>
      <c r="J23" s="37">
        <v>29</v>
      </c>
      <c r="K23" s="38" t="s">
        <v>379</v>
      </c>
      <c r="L23" s="37">
        <v>30</v>
      </c>
      <c r="M23" s="38" t="s">
        <v>383</v>
      </c>
      <c r="N23" s="37">
        <v>30</v>
      </c>
      <c r="P23" s="33"/>
    </row>
    <row r="24" spans="1:16" ht="15">
      <c r="A24" s="36">
        <v>2028</v>
      </c>
      <c r="B24" s="38">
        <v>609</v>
      </c>
      <c r="C24" s="38">
        <v>538</v>
      </c>
      <c r="D24" s="132">
        <v>1147</v>
      </c>
      <c r="E24" s="275">
        <f t="shared" si="0"/>
        <v>1147000</v>
      </c>
      <c r="F24" s="209"/>
      <c r="G24" s="32"/>
      <c r="H24" s="35">
        <v>2028</v>
      </c>
      <c r="I24" s="38" t="s">
        <v>378</v>
      </c>
      <c r="J24" s="37">
        <v>28</v>
      </c>
      <c r="K24" s="38" t="s">
        <v>379</v>
      </c>
      <c r="L24" s="37">
        <v>30</v>
      </c>
      <c r="M24" s="38" t="s">
        <v>383</v>
      </c>
      <c r="N24" s="37">
        <v>29</v>
      </c>
      <c r="P24" s="33"/>
    </row>
    <row r="25" spans="1:16" ht="15">
      <c r="A25" s="36">
        <v>2029</v>
      </c>
      <c r="B25" s="38">
        <v>715</v>
      </c>
      <c r="C25" s="38">
        <v>308</v>
      </c>
      <c r="D25" s="132">
        <v>1023</v>
      </c>
      <c r="E25" s="275">
        <f t="shared" si="0"/>
        <v>1023000</v>
      </c>
      <c r="F25" s="209"/>
      <c r="G25" s="32"/>
      <c r="H25" s="35">
        <v>2029</v>
      </c>
      <c r="I25" s="38" t="s">
        <v>385</v>
      </c>
      <c r="J25" s="37">
        <v>30</v>
      </c>
      <c r="K25" s="38" t="s">
        <v>379</v>
      </c>
      <c r="L25" s="37">
        <v>30</v>
      </c>
      <c r="M25" s="38" t="s">
        <v>383</v>
      </c>
      <c r="N25" s="37">
        <v>30</v>
      </c>
      <c r="P25" s="33"/>
    </row>
    <row r="26" spans="1:16" ht="15">
      <c r="A26" s="36">
        <v>2030</v>
      </c>
      <c r="B26" s="38">
        <v>618</v>
      </c>
      <c r="C26" s="38">
        <v>311</v>
      </c>
      <c r="D26" s="132">
        <v>929</v>
      </c>
      <c r="E26" s="275">
        <f t="shared" si="0"/>
        <v>929000</v>
      </c>
      <c r="F26" s="209"/>
      <c r="G26" s="32"/>
      <c r="H26" s="35">
        <v>2030</v>
      </c>
      <c r="I26" s="38" t="s">
        <v>386</v>
      </c>
      <c r="J26" s="37">
        <v>30</v>
      </c>
      <c r="K26" s="38" t="s">
        <v>387</v>
      </c>
      <c r="L26" s="37">
        <v>32</v>
      </c>
      <c r="M26" s="38" t="s">
        <v>388</v>
      </c>
      <c r="N26" s="37">
        <v>31</v>
      </c>
      <c r="P26" s="33"/>
    </row>
    <row r="27" spans="1:16" ht="15">
      <c r="A27" s="36">
        <v>2031</v>
      </c>
      <c r="B27" s="38">
        <v>428</v>
      </c>
      <c r="C27" s="38">
        <v>340</v>
      </c>
      <c r="D27" s="132">
        <v>768</v>
      </c>
      <c r="E27" s="275">
        <f t="shared" si="0"/>
        <v>768000</v>
      </c>
      <c r="F27" s="209"/>
      <c r="G27" s="32"/>
      <c r="H27" s="35">
        <v>2031</v>
      </c>
      <c r="I27" s="38" t="s">
        <v>389</v>
      </c>
      <c r="J27" s="37">
        <v>28</v>
      </c>
      <c r="K27" s="38" t="s">
        <v>390</v>
      </c>
      <c r="L27" s="37">
        <v>31</v>
      </c>
      <c r="M27" s="38" t="s">
        <v>390</v>
      </c>
      <c r="N27" s="37">
        <v>30</v>
      </c>
      <c r="P27" s="33"/>
    </row>
    <row r="28" spans="1:16" ht="15">
      <c r="A28" s="36">
        <v>2032</v>
      </c>
      <c r="B28" s="38">
        <v>483</v>
      </c>
      <c r="C28" s="38">
        <v>146</v>
      </c>
      <c r="D28" s="132">
        <v>628</v>
      </c>
      <c r="E28" s="275">
        <f t="shared" si="0"/>
        <v>628000</v>
      </c>
      <c r="F28" s="209"/>
      <c r="G28" s="32"/>
      <c r="H28" s="35">
        <v>2032</v>
      </c>
      <c r="I28" s="38">
        <v>817</v>
      </c>
      <c r="J28" s="37">
        <v>31</v>
      </c>
      <c r="K28" s="38">
        <v>946</v>
      </c>
      <c r="L28" s="37">
        <v>30</v>
      </c>
      <c r="M28" s="38">
        <v>947</v>
      </c>
      <c r="N28" s="37">
        <v>30</v>
      </c>
      <c r="P28" s="33"/>
    </row>
    <row r="29" spans="1:16" ht="15">
      <c r="A29" s="36">
        <v>2033</v>
      </c>
      <c r="B29" s="38">
        <v>483</v>
      </c>
      <c r="C29" s="38">
        <v>87</v>
      </c>
      <c r="D29" s="132">
        <v>570</v>
      </c>
      <c r="E29" s="275">
        <f t="shared" si="0"/>
        <v>570000</v>
      </c>
      <c r="F29" s="209"/>
      <c r="G29" s="32"/>
      <c r="H29" s="35">
        <v>2033</v>
      </c>
      <c r="I29" s="38">
        <v>817</v>
      </c>
      <c r="J29" s="37">
        <v>30</v>
      </c>
      <c r="K29" s="38">
        <v>757</v>
      </c>
      <c r="L29" s="37">
        <v>31</v>
      </c>
      <c r="M29" s="38">
        <v>757</v>
      </c>
      <c r="N29" s="37">
        <v>30</v>
      </c>
      <c r="P29" s="33"/>
    </row>
    <row r="30" spans="1:16" ht="15">
      <c r="A30" s="36">
        <v>2034</v>
      </c>
      <c r="B30" s="38">
        <v>483</v>
      </c>
      <c r="C30" s="38">
        <v>131</v>
      </c>
      <c r="D30" s="132">
        <v>614</v>
      </c>
      <c r="E30" s="275">
        <f t="shared" si="0"/>
        <v>614000</v>
      </c>
      <c r="F30" s="209"/>
      <c r="G30" s="32"/>
      <c r="H30" s="35">
        <v>2034</v>
      </c>
      <c r="I30" s="38">
        <v>817</v>
      </c>
      <c r="J30" s="37">
        <v>29</v>
      </c>
      <c r="K30" s="38">
        <v>757</v>
      </c>
      <c r="L30" s="37">
        <v>31</v>
      </c>
      <c r="M30" s="38">
        <v>757</v>
      </c>
      <c r="N30" s="37">
        <v>30</v>
      </c>
      <c r="P30" s="33"/>
    </row>
    <row r="31" spans="1:16" ht="15">
      <c r="A31" s="36">
        <v>2035</v>
      </c>
      <c r="B31" s="38">
        <v>483</v>
      </c>
      <c r="C31" s="38">
        <v>659</v>
      </c>
      <c r="D31" s="132">
        <v>1142</v>
      </c>
      <c r="E31" s="275">
        <f t="shared" si="0"/>
        <v>1142000</v>
      </c>
      <c r="F31" s="209"/>
      <c r="G31" s="32"/>
      <c r="H31" s="35">
        <v>2035</v>
      </c>
      <c r="I31" s="38">
        <v>817</v>
      </c>
      <c r="J31" s="37">
        <v>28</v>
      </c>
      <c r="K31" s="38">
        <v>802</v>
      </c>
      <c r="L31" s="37">
        <v>30</v>
      </c>
      <c r="M31" s="38">
        <v>757</v>
      </c>
      <c r="N31" s="37">
        <v>30</v>
      </c>
      <c r="P31" s="33"/>
    </row>
    <row r="32" spans="1:16" ht="15">
      <c r="A32" s="36">
        <v>2036</v>
      </c>
      <c r="B32" s="38">
        <v>483</v>
      </c>
      <c r="C32" s="38">
        <v>262</v>
      </c>
      <c r="D32" s="132">
        <v>745</v>
      </c>
      <c r="E32" s="275">
        <f t="shared" si="0"/>
        <v>745000</v>
      </c>
      <c r="F32" s="209"/>
      <c r="G32" s="32"/>
      <c r="H32" s="35">
        <v>2036</v>
      </c>
      <c r="I32" s="38">
        <v>888</v>
      </c>
      <c r="J32" s="37">
        <v>27</v>
      </c>
      <c r="K32" s="38">
        <v>802</v>
      </c>
      <c r="L32" s="37">
        <v>30</v>
      </c>
      <c r="M32" s="38">
        <v>757</v>
      </c>
      <c r="N32" s="37">
        <v>30</v>
      </c>
      <c r="P32" s="33"/>
    </row>
    <row r="33" spans="1:16" ht="15">
      <c r="A33" s="36">
        <v>2037</v>
      </c>
      <c r="B33" s="38">
        <v>483</v>
      </c>
      <c r="C33" s="38">
        <v>614</v>
      </c>
      <c r="D33" s="132">
        <v>1097</v>
      </c>
      <c r="E33" s="275">
        <f>D33*1000</f>
        <v>1097000</v>
      </c>
      <c r="F33" s="209"/>
      <c r="G33" s="32"/>
      <c r="H33" s="35">
        <v>2037</v>
      </c>
      <c r="I33" s="38" t="s">
        <v>391</v>
      </c>
      <c r="J33" s="37">
        <v>26</v>
      </c>
      <c r="K33" s="38">
        <v>828</v>
      </c>
      <c r="L33" s="37">
        <v>28</v>
      </c>
      <c r="M33" s="38">
        <v>757</v>
      </c>
      <c r="N33" s="37">
        <v>30</v>
      </c>
      <c r="P33" s="33"/>
    </row>
    <row r="34" spans="1:16" ht="15">
      <c r="A34" s="36">
        <v>2038</v>
      </c>
      <c r="B34" s="38">
        <v>483</v>
      </c>
      <c r="C34" s="38">
        <v>0</v>
      </c>
      <c r="D34" s="38">
        <v>483</v>
      </c>
      <c r="E34" s="32"/>
      <c r="F34" s="32"/>
      <c r="G34" s="32"/>
      <c r="H34" s="35">
        <v>2038</v>
      </c>
      <c r="I34" s="38" t="s">
        <v>392</v>
      </c>
      <c r="J34" s="37">
        <v>26</v>
      </c>
      <c r="K34" s="38">
        <v>828</v>
      </c>
      <c r="L34" s="37">
        <v>28</v>
      </c>
      <c r="M34" s="38">
        <v>757</v>
      </c>
      <c r="N34" s="37">
        <v>30</v>
      </c>
      <c r="P34" s="33"/>
    </row>
    <row r="35" spans="1:16" ht="15">
      <c r="A35" s="36">
        <v>2039</v>
      </c>
      <c r="B35" s="38">
        <v>483</v>
      </c>
      <c r="C35" s="38">
        <v>63</v>
      </c>
      <c r="D35" s="38">
        <v>546</v>
      </c>
      <c r="E35" s="32"/>
      <c r="F35" s="32"/>
      <c r="G35" s="32"/>
      <c r="H35" s="35">
        <v>2039</v>
      </c>
      <c r="I35" s="38" t="s">
        <v>393</v>
      </c>
      <c r="J35" s="37">
        <v>25</v>
      </c>
      <c r="K35" s="38">
        <v>971</v>
      </c>
      <c r="L35" s="37">
        <v>27</v>
      </c>
      <c r="M35" s="38">
        <v>864</v>
      </c>
      <c r="N35" s="37">
        <v>30</v>
      </c>
      <c r="P35" s="33"/>
    </row>
    <row r="36" spans="1:16" ht="15">
      <c r="A36" s="36">
        <v>2040</v>
      </c>
      <c r="B36" s="38">
        <v>483</v>
      </c>
      <c r="C36" s="38">
        <v>93</v>
      </c>
      <c r="D36" s="38">
        <v>576</v>
      </c>
      <c r="E36" s="32"/>
      <c r="F36" s="32"/>
      <c r="G36" s="32"/>
      <c r="H36" s="35">
        <v>2040</v>
      </c>
      <c r="I36" s="38" t="s">
        <v>393</v>
      </c>
      <c r="J36" s="37">
        <v>25</v>
      </c>
      <c r="K36" s="38" t="s">
        <v>394</v>
      </c>
      <c r="L36" s="37">
        <v>27</v>
      </c>
      <c r="M36" s="38" t="s">
        <v>395</v>
      </c>
      <c r="N36" s="37">
        <v>29</v>
      </c>
      <c r="P36" s="33"/>
    </row>
    <row r="37" spans="1:16" ht="15">
      <c r="A37" s="36">
        <v>2041</v>
      </c>
      <c r="B37" s="38">
        <v>483</v>
      </c>
      <c r="C37" s="38">
        <v>702</v>
      </c>
      <c r="D37" s="38" t="s">
        <v>396</v>
      </c>
      <c r="E37" s="32"/>
      <c r="F37" s="32"/>
      <c r="G37" s="32"/>
      <c r="H37" s="35">
        <v>2041</v>
      </c>
      <c r="I37" s="38" t="s">
        <v>393</v>
      </c>
      <c r="J37" s="37">
        <v>25</v>
      </c>
      <c r="K37" s="38" t="s">
        <v>397</v>
      </c>
      <c r="L37" s="37">
        <v>26</v>
      </c>
      <c r="M37" s="38" t="s">
        <v>398</v>
      </c>
      <c r="N37" s="37">
        <v>28</v>
      </c>
      <c r="P37" s="33"/>
    </row>
    <row r="38" spans="1:16" ht="15">
      <c r="A38" s="36">
        <v>2042</v>
      </c>
      <c r="B38" s="38">
        <v>483</v>
      </c>
      <c r="C38" s="38" t="s">
        <v>399</v>
      </c>
      <c r="D38" s="38" t="s">
        <v>400</v>
      </c>
      <c r="E38" s="32"/>
      <c r="F38" s="32"/>
      <c r="G38" s="32"/>
      <c r="H38" s="35">
        <v>2042</v>
      </c>
      <c r="I38" s="38" t="s">
        <v>393</v>
      </c>
      <c r="J38" s="37">
        <v>25</v>
      </c>
      <c r="K38" s="38" t="s">
        <v>401</v>
      </c>
      <c r="L38" s="37">
        <v>26</v>
      </c>
      <c r="M38" s="38" t="s">
        <v>402</v>
      </c>
      <c r="N38" s="37">
        <v>28</v>
      </c>
      <c r="P38" s="33"/>
    </row>
    <row r="39" spans="1:16" ht="15">
      <c r="A39" s="36">
        <v>2043</v>
      </c>
      <c r="B39" s="38">
        <v>483</v>
      </c>
      <c r="C39" s="38" t="s">
        <v>403</v>
      </c>
      <c r="D39" s="38" t="s">
        <v>404</v>
      </c>
      <c r="E39" s="32"/>
      <c r="F39" s="32"/>
      <c r="G39" s="32"/>
      <c r="H39" s="35">
        <v>2043</v>
      </c>
      <c r="I39" s="38" t="s">
        <v>393</v>
      </c>
      <c r="J39" s="37">
        <v>25</v>
      </c>
      <c r="K39" s="38" t="s">
        <v>401</v>
      </c>
      <c r="L39" s="37">
        <v>26</v>
      </c>
      <c r="M39" s="38" t="s">
        <v>405</v>
      </c>
      <c r="N39" s="37">
        <v>28</v>
      </c>
      <c r="P39" s="33"/>
    </row>
    <row r="40" spans="1:16" ht="15">
      <c r="A40" s="36">
        <v>2044</v>
      </c>
      <c r="B40" s="38">
        <v>513</v>
      </c>
      <c r="C40" s="38" t="s">
        <v>406</v>
      </c>
      <c r="D40" s="38" t="s">
        <v>407</v>
      </c>
      <c r="E40" s="32"/>
      <c r="F40" s="32"/>
      <c r="G40" s="32"/>
      <c r="H40" s="35">
        <v>2044</v>
      </c>
      <c r="I40" s="38" t="s">
        <v>393</v>
      </c>
      <c r="J40" s="37">
        <v>25</v>
      </c>
      <c r="K40" s="38" t="s">
        <v>401</v>
      </c>
      <c r="L40" s="37">
        <v>26</v>
      </c>
      <c r="M40" s="38" t="s">
        <v>405</v>
      </c>
      <c r="N40" s="37">
        <v>29</v>
      </c>
      <c r="P40" s="33"/>
    </row>
    <row r="41" spans="1:16" ht="15">
      <c r="A41" s="36">
        <v>2045</v>
      </c>
      <c r="B41" s="38">
        <v>513</v>
      </c>
      <c r="C41" s="38" t="s">
        <v>408</v>
      </c>
      <c r="D41" s="38" t="s">
        <v>409</v>
      </c>
      <c r="E41" s="32"/>
      <c r="F41" s="32"/>
      <c r="G41" s="32"/>
      <c r="H41" s="35">
        <v>2045</v>
      </c>
      <c r="I41" s="38" t="s">
        <v>393</v>
      </c>
      <c r="J41" s="37">
        <v>25</v>
      </c>
      <c r="K41" s="38" t="s">
        <v>401</v>
      </c>
      <c r="L41" s="37">
        <v>27</v>
      </c>
      <c r="M41" s="38" t="s">
        <v>405</v>
      </c>
      <c r="N41" s="37">
        <v>29</v>
      </c>
      <c r="P41" s="33"/>
    </row>
    <row r="42" spans="1:16" ht="15">
      <c r="A42" s="36">
        <v>2046</v>
      </c>
      <c r="B42" s="38">
        <v>513</v>
      </c>
      <c r="C42" s="38">
        <v>786</v>
      </c>
      <c r="D42" s="38" t="s">
        <v>410</v>
      </c>
      <c r="E42" s="32"/>
      <c r="F42" s="32"/>
      <c r="G42" s="32"/>
      <c r="H42" s="35">
        <v>2046</v>
      </c>
      <c r="I42" s="38" t="s">
        <v>393</v>
      </c>
      <c r="J42" s="37">
        <v>25</v>
      </c>
      <c r="K42" s="38" t="s">
        <v>401</v>
      </c>
      <c r="L42" s="37">
        <v>27</v>
      </c>
      <c r="M42" s="38" t="s">
        <v>405</v>
      </c>
      <c r="N42" s="37">
        <v>28</v>
      </c>
      <c r="P42" s="33"/>
    </row>
    <row r="43" spans="1:16" ht="15">
      <c r="A43" s="36">
        <v>2047</v>
      </c>
      <c r="B43" s="38">
        <v>513</v>
      </c>
      <c r="C43" s="38">
        <v>414</v>
      </c>
      <c r="D43" s="38">
        <v>926</v>
      </c>
      <c r="E43" s="32"/>
      <c r="F43" s="32"/>
      <c r="G43" s="32"/>
      <c r="H43" s="35">
        <v>2047</v>
      </c>
      <c r="I43" s="38" t="s">
        <v>393</v>
      </c>
      <c r="J43" s="37">
        <v>25</v>
      </c>
      <c r="K43" s="38" t="s">
        <v>401</v>
      </c>
      <c r="L43" s="37">
        <v>27</v>
      </c>
      <c r="M43" s="38" t="s">
        <v>405</v>
      </c>
      <c r="N43" s="37">
        <v>28</v>
      </c>
      <c r="P43" s="33"/>
    </row>
    <row r="44" spans="1:16" ht="15">
      <c r="A44" s="36">
        <v>2048</v>
      </c>
      <c r="B44" s="38">
        <v>513</v>
      </c>
      <c r="C44" s="38">
        <v>716</v>
      </c>
      <c r="D44" s="38" t="s">
        <v>411</v>
      </c>
      <c r="E44" s="32"/>
      <c r="F44" s="32"/>
      <c r="G44" s="32"/>
      <c r="H44" s="35">
        <v>2048</v>
      </c>
      <c r="I44" s="38" t="s">
        <v>393</v>
      </c>
      <c r="J44" s="37">
        <v>25</v>
      </c>
      <c r="K44" s="38" t="s">
        <v>401</v>
      </c>
      <c r="L44" s="37">
        <v>27</v>
      </c>
      <c r="M44" s="38" t="s">
        <v>405</v>
      </c>
      <c r="N44" s="37">
        <v>29</v>
      </c>
      <c r="P44" s="33"/>
    </row>
    <row r="45" spans="1:16" ht="15">
      <c r="A45" s="36">
        <v>2049</v>
      </c>
      <c r="B45" s="38">
        <v>513</v>
      </c>
      <c r="C45" s="38" t="s">
        <v>412</v>
      </c>
      <c r="D45" s="38" t="s">
        <v>413</v>
      </c>
      <c r="E45" s="32"/>
      <c r="F45" s="32"/>
      <c r="G45" s="32"/>
      <c r="H45" s="35">
        <v>2049</v>
      </c>
      <c r="I45" s="38" t="s">
        <v>393</v>
      </c>
      <c r="J45" s="37">
        <v>25</v>
      </c>
      <c r="K45" s="38" t="s">
        <v>401</v>
      </c>
      <c r="L45" s="37">
        <v>27</v>
      </c>
      <c r="M45" s="38" t="s">
        <v>405</v>
      </c>
      <c r="N45" s="37">
        <v>29</v>
      </c>
      <c r="P45" s="33"/>
    </row>
    <row r="46" spans="1:16" ht="15">
      <c r="A46" s="36">
        <v>2050</v>
      </c>
      <c r="B46" s="38">
        <v>513</v>
      </c>
      <c r="C46" s="38" t="s">
        <v>414</v>
      </c>
      <c r="D46" s="38" t="s">
        <v>415</v>
      </c>
      <c r="E46" s="32"/>
      <c r="F46" s="32"/>
      <c r="G46" s="32"/>
      <c r="H46" s="35">
        <v>2050</v>
      </c>
      <c r="I46" s="38" t="s">
        <v>393</v>
      </c>
      <c r="J46" s="37">
        <v>25</v>
      </c>
      <c r="K46" s="38" t="s">
        <v>401</v>
      </c>
      <c r="L46" s="37">
        <v>27</v>
      </c>
      <c r="M46" s="38" t="s">
        <v>405</v>
      </c>
      <c r="N46" s="37">
        <v>29</v>
      </c>
      <c r="P46" s="33"/>
    </row>
    <row r="47" spans="1:16" ht="15">
      <c r="A47" s="36">
        <v>2051</v>
      </c>
      <c r="B47" s="38">
        <v>513</v>
      </c>
      <c r="C47" s="38" t="s">
        <v>416</v>
      </c>
      <c r="D47" s="38" t="s">
        <v>417</v>
      </c>
      <c r="E47" s="32"/>
      <c r="F47" s="32"/>
      <c r="G47" s="32"/>
      <c r="H47" s="35">
        <v>2051</v>
      </c>
      <c r="I47" s="38" t="s">
        <v>393</v>
      </c>
      <c r="J47" s="37">
        <v>25</v>
      </c>
      <c r="K47" s="38" t="s">
        <v>401</v>
      </c>
      <c r="L47" s="37">
        <v>27</v>
      </c>
      <c r="M47" s="38" t="s">
        <v>405</v>
      </c>
      <c r="N47" s="37">
        <v>29</v>
      </c>
      <c r="P47" s="33"/>
    </row>
    <row r="48" spans="1:16" ht="15">
      <c r="A48" s="36">
        <v>2052</v>
      </c>
      <c r="B48" s="38">
        <v>513</v>
      </c>
      <c r="C48" s="38">
        <v>432</v>
      </c>
      <c r="D48" s="38">
        <v>945</v>
      </c>
      <c r="E48" s="32"/>
      <c r="F48" s="32"/>
      <c r="G48" s="32"/>
      <c r="H48" s="35">
        <v>2052</v>
      </c>
      <c r="I48" s="38" t="s">
        <v>393</v>
      </c>
      <c r="J48" s="37">
        <v>25</v>
      </c>
      <c r="K48" s="38" t="s">
        <v>401</v>
      </c>
      <c r="L48" s="37">
        <v>27</v>
      </c>
      <c r="M48" s="38" t="s">
        <v>405</v>
      </c>
      <c r="N48" s="37">
        <v>29</v>
      </c>
      <c r="P48" s="33"/>
    </row>
    <row r="49" spans="1:16" ht="15">
      <c r="A49" s="36">
        <v>2053</v>
      </c>
      <c r="B49" s="38">
        <v>513</v>
      </c>
      <c r="C49" s="38">
        <v>519</v>
      </c>
      <c r="D49" s="38" t="s">
        <v>418</v>
      </c>
      <c r="E49" s="32"/>
      <c r="F49" s="32"/>
      <c r="G49" s="32"/>
      <c r="H49" s="35">
        <v>2053</v>
      </c>
      <c r="I49" s="38" t="s">
        <v>393</v>
      </c>
      <c r="J49" s="37">
        <v>25</v>
      </c>
      <c r="K49" s="38" t="s">
        <v>401</v>
      </c>
      <c r="L49" s="37">
        <v>27</v>
      </c>
      <c r="M49" s="38" t="s">
        <v>405</v>
      </c>
      <c r="N49" s="37">
        <v>29</v>
      </c>
      <c r="P49" s="33"/>
    </row>
    <row r="50" spans="1:16" ht="15">
      <c r="A50" s="36">
        <v>2054</v>
      </c>
      <c r="B50" s="38">
        <v>513</v>
      </c>
      <c r="C50" s="38">
        <v>738</v>
      </c>
      <c r="D50" s="38" t="s">
        <v>419</v>
      </c>
      <c r="E50" s="32"/>
      <c r="F50" s="32"/>
      <c r="G50" s="32"/>
      <c r="H50" s="35">
        <v>2054</v>
      </c>
      <c r="I50" s="38" t="s">
        <v>393</v>
      </c>
      <c r="J50" s="37">
        <v>25</v>
      </c>
      <c r="K50" s="38" t="s">
        <v>401</v>
      </c>
      <c r="L50" s="37">
        <v>27</v>
      </c>
      <c r="M50" s="38" t="s">
        <v>405</v>
      </c>
      <c r="N50" s="37">
        <v>29</v>
      </c>
      <c r="P50" s="33"/>
    </row>
    <row r="51" spans="1:16" ht="15">
      <c r="A51" s="36">
        <v>2055</v>
      </c>
      <c r="B51" s="38">
        <v>513</v>
      </c>
      <c r="C51" s="38">
        <v>869</v>
      </c>
      <c r="D51" s="38" t="s">
        <v>420</v>
      </c>
      <c r="E51" s="32"/>
      <c r="F51" s="32"/>
      <c r="G51" s="32"/>
      <c r="H51" s="35">
        <v>2055</v>
      </c>
      <c r="I51" s="38" t="s">
        <v>393</v>
      </c>
      <c r="J51" s="37">
        <v>25</v>
      </c>
      <c r="K51" s="38" t="s">
        <v>401</v>
      </c>
      <c r="L51" s="37">
        <v>27</v>
      </c>
      <c r="M51" s="38" t="s">
        <v>405</v>
      </c>
      <c r="N51" s="37">
        <v>29</v>
      </c>
      <c r="P51" s="33"/>
    </row>
    <row r="52" spans="1:16" ht="15">
      <c r="A52" s="36">
        <v>2056</v>
      </c>
      <c r="B52" s="38">
        <v>513</v>
      </c>
      <c r="C52" s="38">
        <v>515</v>
      </c>
      <c r="D52" s="38" t="s">
        <v>421</v>
      </c>
      <c r="E52" s="32"/>
      <c r="F52" s="32"/>
      <c r="G52" s="32"/>
      <c r="H52" s="35">
        <v>2056</v>
      </c>
      <c r="I52" s="38" t="s">
        <v>393</v>
      </c>
      <c r="J52" s="37">
        <v>25</v>
      </c>
      <c r="K52" s="38" t="s">
        <v>401</v>
      </c>
      <c r="L52" s="37">
        <v>28</v>
      </c>
      <c r="M52" s="38" t="s">
        <v>405</v>
      </c>
      <c r="N52" s="37">
        <v>29</v>
      </c>
      <c r="P52" s="33"/>
    </row>
    <row r="53" spans="1:16" ht="15">
      <c r="A53" s="36">
        <v>2057</v>
      </c>
      <c r="B53" s="38">
        <v>513</v>
      </c>
      <c r="C53" s="38">
        <v>716</v>
      </c>
      <c r="D53" s="38" t="s">
        <v>411</v>
      </c>
      <c r="E53" s="32"/>
      <c r="F53" s="32"/>
      <c r="G53" s="32"/>
      <c r="H53" s="35">
        <v>2057</v>
      </c>
      <c r="I53" s="38" t="s">
        <v>393</v>
      </c>
      <c r="J53" s="37">
        <v>25</v>
      </c>
      <c r="K53" s="38" t="s">
        <v>401</v>
      </c>
      <c r="L53" s="37">
        <v>28</v>
      </c>
      <c r="M53" s="38" t="s">
        <v>405</v>
      </c>
      <c r="N53" s="37">
        <v>29</v>
      </c>
      <c r="P53" s="33"/>
    </row>
    <row r="54" spans="1:16" ht="15">
      <c r="A54" s="36">
        <v>2058</v>
      </c>
      <c r="B54" s="38">
        <v>513</v>
      </c>
      <c r="C54" s="38">
        <v>386</v>
      </c>
      <c r="D54" s="38">
        <v>899</v>
      </c>
      <c r="E54" s="32"/>
      <c r="F54" s="32"/>
      <c r="G54" s="32"/>
      <c r="H54" s="35">
        <v>2058</v>
      </c>
      <c r="I54" s="38" t="s">
        <v>393</v>
      </c>
      <c r="J54" s="37">
        <v>25</v>
      </c>
      <c r="K54" s="38" t="s">
        <v>401</v>
      </c>
      <c r="L54" s="37">
        <v>28</v>
      </c>
      <c r="M54" s="38" t="s">
        <v>405</v>
      </c>
      <c r="N54" s="37">
        <v>29</v>
      </c>
      <c r="P54" s="33"/>
    </row>
    <row r="55" spans="1:16" ht="15">
      <c r="A55" s="36">
        <v>2059</v>
      </c>
      <c r="B55" s="38">
        <v>513</v>
      </c>
      <c r="C55" s="38">
        <v>205</v>
      </c>
      <c r="D55" s="38">
        <v>717</v>
      </c>
      <c r="E55" s="32"/>
      <c r="F55" s="32"/>
      <c r="G55" s="32"/>
      <c r="H55" s="35">
        <v>2059</v>
      </c>
      <c r="I55" s="38" t="s">
        <v>393</v>
      </c>
      <c r="J55" s="37">
        <v>25</v>
      </c>
      <c r="K55" s="38" t="s">
        <v>401</v>
      </c>
      <c r="L55" s="37">
        <v>28</v>
      </c>
      <c r="M55" s="38" t="s">
        <v>405</v>
      </c>
      <c r="N55" s="37">
        <v>29</v>
      </c>
      <c r="P55" s="33"/>
    </row>
    <row r="56" spans="1:16" ht="15">
      <c r="A56" s="36">
        <v>2060</v>
      </c>
      <c r="B56" s="38">
        <v>513</v>
      </c>
      <c r="C56" s="38">
        <v>110</v>
      </c>
      <c r="D56" s="38">
        <v>623</v>
      </c>
      <c r="E56" s="32"/>
      <c r="F56" s="32"/>
      <c r="G56" s="32"/>
      <c r="H56" s="35">
        <v>2060</v>
      </c>
      <c r="I56" s="38" t="s">
        <v>393</v>
      </c>
      <c r="J56" s="37">
        <v>25</v>
      </c>
      <c r="K56" s="38" t="s">
        <v>401</v>
      </c>
      <c r="L56" s="37">
        <v>29</v>
      </c>
      <c r="M56" s="38" t="s">
        <v>405</v>
      </c>
      <c r="N56" s="37">
        <v>29</v>
      </c>
      <c r="P56" s="33"/>
    </row>
    <row r="57" spans="1:16" ht="15">
      <c r="A57" s="36"/>
      <c r="B57" s="39"/>
      <c r="C57" s="39"/>
      <c r="D57" s="39"/>
      <c r="E57" s="32"/>
      <c r="F57" s="32"/>
      <c r="G57" s="32"/>
      <c r="H57" s="32"/>
      <c r="I57" s="32"/>
      <c r="J57" s="32"/>
      <c r="K57" s="32"/>
      <c r="L57" s="32"/>
      <c r="M57" s="32"/>
      <c r="N57" s="32"/>
      <c r="P57" s="33"/>
    </row>
    <row r="58" spans="1:16" ht="15">
      <c r="A58" s="36" t="s">
        <v>422</v>
      </c>
      <c r="B58" s="35" t="s">
        <v>423</v>
      </c>
      <c r="C58" s="40"/>
      <c r="D58" s="40"/>
      <c r="E58" s="32"/>
      <c r="F58" s="32"/>
      <c r="G58" s="32"/>
      <c r="H58" s="35" t="s">
        <v>422</v>
      </c>
      <c r="I58" s="35" t="s">
        <v>423</v>
      </c>
      <c r="J58" s="32"/>
      <c r="K58" s="32"/>
      <c r="L58" s="32"/>
      <c r="M58" s="32"/>
      <c r="N58" s="32"/>
      <c r="P58" s="33"/>
    </row>
    <row r="59" spans="1:16" ht="15">
      <c r="A59" s="36"/>
      <c r="B59" s="37"/>
      <c r="C59" s="39"/>
      <c r="D59" s="39"/>
      <c r="E59" s="32"/>
      <c r="F59" s="32"/>
      <c r="G59" s="32"/>
      <c r="H59" s="35"/>
      <c r="I59" s="37"/>
      <c r="J59" s="32"/>
      <c r="K59" s="32"/>
      <c r="L59" s="32"/>
      <c r="M59" s="32"/>
      <c r="N59" s="32"/>
      <c r="P59" s="33"/>
    </row>
    <row r="60" spans="1:16" ht="15">
      <c r="A60" s="36"/>
      <c r="B60" s="37"/>
      <c r="C60" s="39"/>
      <c r="D60" s="39"/>
      <c r="E60" s="32"/>
      <c r="F60" s="32"/>
      <c r="G60" s="32"/>
      <c r="H60" s="35"/>
      <c r="I60" s="37"/>
      <c r="J60" s="32"/>
      <c r="K60" s="32"/>
      <c r="L60" s="32"/>
      <c r="M60" s="32"/>
      <c r="N60" s="32"/>
      <c r="P60" s="33"/>
    </row>
    <row r="61" spans="1:16" ht="15">
      <c r="A61" s="36"/>
      <c r="B61" s="37"/>
      <c r="C61" s="39"/>
      <c r="D61" s="39"/>
      <c r="E61" s="32"/>
      <c r="F61" s="32"/>
      <c r="G61" s="32"/>
      <c r="H61" s="35"/>
      <c r="I61" s="37"/>
      <c r="J61" s="32"/>
      <c r="K61" s="32"/>
      <c r="L61" s="32"/>
      <c r="M61" s="32"/>
      <c r="N61" s="32"/>
      <c r="P61" s="33"/>
    </row>
    <row r="62" spans="1:16" ht="15">
      <c r="A62" s="36"/>
      <c r="B62" s="37"/>
      <c r="C62" s="39"/>
      <c r="D62" s="39"/>
      <c r="E62" s="32"/>
      <c r="F62" s="32"/>
      <c r="G62" s="32"/>
      <c r="H62" s="35"/>
      <c r="I62" s="37"/>
      <c r="J62" s="32"/>
      <c r="K62" s="32"/>
      <c r="L62" s="32"/>
      <c r="M62" s="32"/>
      <c r="N62" s="32"/>
      <c r="P62" s="33"/>
    </row>
    <row r="63" spans="1:16" ht="15">
      <c r="A63" s="36"/>
      <c r="B63" s="37"/>
      <c r="C63" s="39"/>
      <c r="D63" s="39"/>
      <c r="E63" s="32"/>
      <c r="F63" s="32"/>
      <c r="G63" s="32"/>
      <c r="H63" s="35"/>
      <c r="I63" s="37"/>
      <c r="J63" s="32"/>
      <c r="K63" s="32"/>
      <c r="L63" s="32"/>
      <c r="M63" s="32"/>
      <c r="N63" s="32"/>
      <c r="P63" s="33"/>
    </row>
    <row r="64" spans="1:16" ht="15">
      <c r="A64" s="36"/>
      <c r="B64" s="39"/>
      <c r="C64" s="39"/>
      <c r="D64" s="39"/>
      <c r="E64" s="32"/>
      <c r="F64" s="32"/>
      <c r="G64" s="32"/>
      <c r="H64" s="32"/>
      <c r="I64" s="32"/>
      <c r="J64" s="32"/>
      <c r="K64" s="32"/>
      <c r="L64" s="32"/>
      <c r="M64" s="32"/>
      <c r="N64" s="32"/>
      <c r="P64" s="33"/>
    </row>
    <row r="65" spans="1:16" ht="15">
      <c r="A65" s="36"/>
      <c r="B65" s="39"/>
      <c r="C65" s="39"/>
      <c r="D65" s="39"/>
      <c r="E65" s="32"/>
      <c r="F65" s="32"/>
      <c r="G65" s="32"/>
      <c r="H65" s="32"/>
      <c r="I65" s="32"/>
      <c r="J65" s="32"/>
      <c r="K65" s="32"/>
      <c r="L65" s="32"/>
      <c r="M65" s="32"/>
      <c r="N65" s="32"/>
      <c r="P65" s="33"/>
    </row>
    <row r="66" spans="1:16" ht="15">
      <c r="A66" s="36"/>
      <c r="B66" s="39"/>
      <c r="C66" s="39"/>
      <c r="D66" s="39"/>
      <c r="E66" s="32"/>
      <c r="F66" s="32"/>
      <c r="G66" s="32"/>
      <c r="H66" s="32"/>
      <c r="I66" s="32"/>
      <c r="J66" s="32"/>
      <c r="K66" s="32"/>
      <c r="L66" s="32"/>
      <c r="M66" s="32"/>
      <c r="N66" s="32"/>
      <c r="P66" s="33"/>
    </row>
    <row r="67" spans="1:16" ht="15.75">
      <c r="A67" s="34" t="s">
        <v>424</v>
      </c>
      <c r="B67" s="32"/>
      <c r="C67" s="32"/>
      <c r="D67" s="32"/>
      <c r="E67" s="32"/>
      <c r="F67" s="32"/>
      <c r="G67" s="32"/>
      <c r="H67" s="41" t="s">
        <v>425</v>
      </c>
      <c r="I67" s="32"/>
      <c r="J67" s="32"/>
      <c r="K67" s="32"/>
      <c r="L67" s="32"/>
      <c r="M67" s="32"/>
      <c r="N67" s="32"/>
      <c r="P67" s="33"/>
    </row>
    <row r="68" spans="1:16" ht="15">
      <c r="A68" s="36" t="s">
        <v>426</v>
      </c>
      <c r="B68" s="32"/>
      <c r="C68" s="32"/>
      <c r="D68" s="32"/>
      <c r="E68" s="32"/>
      <c r="F68" s="32"/>
      <c r="G68" s="32"/>
      <c r="H68" s="35" t="s">
        <v>427</v>
      </c>
      <c r="I68" s="32"/>
      <c r="J68" s="32"/>
      <c r="K68" s="32"/>
      <c r="L68" s="32"/>
      <c r="M68" s="32"/>
      <c r="N68" s="32"/>
      <c r="P68" s="33"/>
    </row>
    <row r="69" spans="1:16" ht="15">
      <c r="A69" s="36" t="s">
        <v>428</v>
      </c>
      <c r="B69" s="32"/>
      <c r="C69" s="32"/>
      <c r="D69" s="32"/>
      <c r="E69" s="32"/>
      <c r="F69" s="32"/>
      <c r="G69" s="32"/>
      <c r="H69" s="35" t="s">
        <v>429</v>
      </c>
      <c r="I69" s="32"/>
      <c r="J69" s="32"/>
      <c r="K69" s="32"/>
      <c r="L69" s="32"/>
      <c r="M69" s="32"/>
      <c r="N69" s="32"/>
      <c r="P69" s="33"/>
    </row>
    <row r="70" spans="1:16" ht="15">
      <c r="A70" s="36"/>
      <c r="B70" s="32"/>
      <c r="C70" s="32"/>
      <c r="D70" s="32"/>
      <c r="E70" s="32"/>
      <c r="F70" s="32"/>
      <c r="G70" s="32"/>
      <c r="H70" s="35"/>
      <c r="I70" s="32"/>
      <c r="J70" s="32"/>
      <c r="K70" s="32"/>
      <c r="L70" s="32"/>
      <c r="M70" s="32"/>
      <c r="N70" s="32"/>
      <c r="P70" s="33"/>
    </row>
    <row r="71" spans="1:16" ht="15">
      <c r="A71" s="42" t="s">
        <v>359</v>
      </c>
      <c r="B71" s="43" t="s">
        <v>360</v>
      </c>
      <c r="C71" s="43" t="s">
        <v>361</v>
      </c>
      <c r="D71" s="43" t="s">
        <v>362</v>
      </c>
      <c r="E71" s="32"/>
      <c r="F71" s="32"/>
      <c r="G71" s="32"/>
      <c r="H71" s="44" t="s">
        <v>359</v>
      </c>
      <c r="I71" s="43" t="s">
        <v>430</v>
      </c>
      <c r="J71" s="43" t="s">
        <v>431</v>
      </c>
      <c r="K71" s="43" t="s">
        <v>432</v>
      </c>
      <c r="L71" s="43" t="s">
        <v>232</v>
      </c>
      <c r="M71" s="32"/>
      <c r="N71" s="32"/>
      <c r="P71" s="33"/>
    </row>
    <row r="72" spans="1:16" ht="15">
      <c r="A72" s="42" t="s">
        <v>365</v>
      </c>
      <c r="B72" s="43" t="s">
        <v>366</v>
      </c>
      <c r="C72" s="43" t="s">
        <v>366</v>
      </c>
      <c r="D72" s="43" t="s">
        <v>366</v>
      </c>
      <c r="E72" s="32"/>
      <c r="F72" s="32"/>
      <c r="G72" s="32"/>
      <c r="H72" s="44" t="s">
        <v>365</v>
      </c>
      <c r="I72" s="43" t="s">
        <v>366</v>
      </c>
      <c r="J72" s="43" t="s">
        <v>366</v>
      </c>
      <c r="K72" s="43" t="s">
        <v>366</v>
      </c>
      <c r="L72" s="43" t="s">
        <v>368</v>
      </c>
      <c r="M72" s="32"/>
      <c r="N72" s="32"/>
      <c r="P72" s="33"/>
    </row>
    <row r="73" spans="1:16" ht="15">
      <c r="A73" s="31"/>
      <c r="B73" s="43" t="s">
        <v>369</v>
      </c>
      <c r="C73" s="43" t="s">
        <v>369</v>
      </c>
      <c r="D73" s="43" t="s">
        <v>369</v>
      </c>
      <c r="E73" s="32"/>
      <c r="F73" s="32"/>
      <c r="G73" s="32"/>
      <c r="H73" s="32"/>
      <c r="I73" s="43" t="s">
        <v>369</v>
      </c>
      <c r="J73" s="43" t="s">
        <v>369</v>
      </c>
      <c r="K73" s="43" t="s">
        <v>369</v>
      </c>
      <c r="L73" s="43" t="s">
        <v>371</v>
      </c>
      <c r="M73" s="32"/>
      <c r="N73" s="32"/>
      <c r="P73" s="33"/>
    </row>
    <row r="74" spans="1:16" ht="15">
      <c r="A74" s="36">
        <v>2021</v>
      </c>
      <c r="B74" s="38">
        <v>599</v>
      </c>
      <c r="C74" s="38">
        <v>823</v>
      </c>
      <c r="D74" s="38" t="s">
        <v>433</v>
      </c>
      <c r="E74" s="32"/>
      <c r="F74" s="32"/>
      <c r="G74" s="32"/>
      <c r="H74" s="35">
        <v>2021</v>
      </c>
      <c r="I74" s="38">
        <v>30</v>
      </c>
      <c r="J74" s="38">
        <v>0</v>
      </c>
      <c r="K74" s="38">
        <v>30</v>
      </c>
      <c r="L74" s="37">
        <v>53</v>
      </c>
      <c r="M74" s="32"/>
      <c r="N74" s="32"/>
      <c r="P74" s="33"/>
    </row>
    <row r="75" spans="1:16" ht="15">
      <c r="A75" s="36">
        <v>2022</v>
      </c>
      <c r="B75" s="38">
        <v>748</v>
      </c>
      <c r="C75" s="38">
        <v>674</v>
      </c>
      <c r="D75" s="38" t="s">
        <v>433</v>
      </c>
      <c r="E75" s="32"/>
      <c r="F75" s="32"/>
      <c r="G75" s="32"/>
      <c r="H75" s="35">
        <v>2022</v>
      </c>
      <c r="I75" s="38">
        <v>30</v>
      </c>
      <c r="J75" s="38">
        <v>0</v>
      </c>
      <c r="K75" s="38">
        <v>30</v>
      </c>
      <c r="L75" s="37">
        <v>54</v>
      </c>
      <c r="M75" s="32"/>
      <c r="N75" s="32"/>
      <c r="P75" s="33"/>
    </row>
    <row r="76" spans="1:16" ht="15">
      <c r="A76" s="36">
        <v>2023</v>
      </c>
      <c r="B76" s="38">
        <v>716</v>
      </c>
      <c r="C76" s="38">
        <v>706</v>
      </c>
      <c r="D76" s="38" t="s">
        <v>433</v>
      </c>
      <c r="E76" s="32"/>
      <c r="F76" s="32"/>
      <c r="G76" s="32"/>
      <c r="H76" s="35">
        <v>2023</v>
      </c>
      <c r="I76" s="38">
        <v>9</v>
      </c>
      <c r="J76" s="38">
        <v>14</v>
      </c>
      <c r="K76" s="38">
        <v>23</v>
      </c>
      <c r="L76" s="37">
        <v>52</v>
      </c>
      <c r="M76" s="32"/>
      <c r="N76" s="32"/>
      <c r="P76" s="33"/>
    </row>
    <row r="77" spans="1:16" ht="15">
      <c r="A77" s="36">
        <v>2024</v>
      </c>
      <c r="B77" s="38">
        <v>602</v>
      </c>
      <c r="C77" s="38">
        <v>820</v>
      </c>
      <c r="D77" s="38" t="s">
        <v>433</v>
      </c>
      <c r="E77" s="32"/>
      <c r="F77" s="32"/>
      <c r="G77" s="32"/>
      <c r="H77" s="35">
        <v>2024</v>
      </c>
      <c r="I77" s="38">
        <v>0</v>
      </c>
      <c r="J77" s="38">
        <v>0</v>
      </c>
      <c r="K77" s="38">
        <v>0</v>
      </c>
      <c r="L77" s="37">
        <v>0</v>
      </c>
      <c r="M77" s="32"/>
      <c r="N77" s="32"/>
      <c r="P77" s="33"/>
    </row>
    <row r="78" spans="1:16" ht="15">
      <c r="A78" s="36">
        <v>2025</v>
      </c>
      <c r="B78" s="38">
        <v>691</v>
      </c>
      <c r="C78" s="38">
        <v>731</v>
      </c>
      <c r="D78" s="38" t="s">
        <v>433</v>
      </c>
      <c r="E78" s="32"/>
      <c r="F78" s="32"/>
      <c r="G78" s="32"/>
      <c r="H78" s="35">
        <v>2025</v>
      </c>
      <c r="I78" s="38">
        <v>0</v>
      </c>
      <c r="J78" s="38">
        <v>0</v>
      </c>
      <c r="K78" s="38">
        <v>0</v>
      </c>
      <c r="L78" s="37">
        <v>0</v>
      </c>
      <c r="M78" s="32"/>
      <c r="N78" s="32"/>
      <c r="P78" s="33"/>
    </row>
    <row r="79" spans="1:16" ht="15">
      <c r="A79" s="36">
        <v>2026</v>
      </c>
      <c r="B79" s="38">
        <v>595</v>
      </c>
      <c r="C79" s="38">
        <v>828</v>
      </c>
      <c r="D79" s="38" t="s">
        <v>433</v>
      </c>
      <c r="E79" s="32"/>
      <c r="F79" s="32"/>
      <c r="G79" s="32"/>
      <c r="H79" s="35">
        <v>2026</v>
      </c>
      <c r="I79" s="38">
        <v>0</v>
      </c>
      <c r="J79" s="38">
        <v>0</v>
      </c>
      <c r="K79" s="38">
        <v>0</v>
      </c>
      <c r="L79" s="37">
        <v>0</v>
      </c>
      <c r="M79" s="32"/>
      <c r="N79" s="32"/>
      <c r="P79" s="33"/>
    </row>
    <row r="80" spans="1:16" ht="15">
      <c r="A80" s="36">
        <v>2027</v>
      </c>
      <c r="B80" s="38">
        <v>547</v>
      </c>
      <c r="C80" s="38">
        <v>875</v>
      </c>
      <c r="D80" s="38" t="s">
        <v>433</v>
      </c>
      <c r="E80" s="32"/>
      <c r="F80" s="32"/>
      <c r="G80" s="32"/>
      <c r="H80" s="35">
        <v>2027</v>
      </c>
      <c r="I80" s="38">
        <v>0</v>
      </c>
      <c r="J80" s="38">
        <v>0</v>
      </c>
      <c r="K80" s="38">
        <v>0</v>
      </c>
      <c r="L80" s="37">
        <v>0</v>
      </c>
      <c r="M80" s="32"/>
      <c r="N80" s="32"/>
      <c r="P80" s="33"/>
    </row>
    <row r="81" spans="1:16" ht="15">
      <c r="A81" s="36">
        <v>2028</v>
      </c>
      <c r="B81" s="38">
        <v>609</v>
      </c>
      <c r="C81" s="38">
        <v>813</v>
      </c>
      <c r="D81" s="38" t="s">
        <v>433</v>
      </c>
      <c r="E81" s="32"/>
      <c r="F81" s="32"/>
      <c r="G81" s="32"/>
      <c r="H81" s="35">
        <v>2028</v>
      </c>
      <c r="I81" s="38">
        <v>0</v>
      </c>
      <c r="J81" s="38">
        <v>0</v>
      </c>
      <c r="K81" s="38">
        <v>0</v>
      </c>
      <c r="L81" s="37">
        <v>0</v>
      </c>
      <c r="M81" s="32"/>
      <c r="N81" s="32"/>
      <c r="P81" s="33"/>
    </row>
    <row r="82" spans="1:16" ht="15">
      <c r="A82" s="36">
        <v>2029</v>
      </c>
      <c r="B82" s="38">
        <v>715</v>
      </c>
      <c r="C82" s="38">
        <v>707</v>
      </c>
      <c r="D82" s="38" t="s">
        <v>433</v>
      </c>
      <c r="E82" s="32"/>
      <c r="F82" s="32"/>
      <c r="G82" s="32"/>
      <c r="H82" s="35">
        <v>2029</v>
      </c>
      <c r="I82" s="38">
        <v>0</v>
      </c>
      <c r="J82" s="38">
        <v>1</v>
      </c>
      <c r="K82" s="38">
        <v>1</v>
      </c>
      <c r="L82" s="37">
        <v>36</v>
      </c>
      <c r="M82" s="32"/>
      <c r="N82" s="32"/>
      <c r="P82" s="33"/>
    </row>
    <row r="83" spans="1:16" ht="15">
      <c r="A83" s="36">
        <v>2030</v>
      </c>
      <c r="B83" s="38">
        <v>618</v>
      </c>
      <c r="C83" s="38">
        <v>804</v>
      </c>
      <c r="D83" s="38" t="s">
        <v>433</v>
      </c>
      <c r="E83" s="32"/>
      <c r="F83" s="32"/>
      <c r="G83" s="32"/>
      <c r="H83" s="35">
        <v>2030</v>
      </c>
      <c r="I83" s="38">
        <v>0</v>
      </c>
      <c r="J83" s="38">
        <v>0</v>
      </c>
      <c r="K83" s="38">
        <v>0</v>
      </c>
      <c r="L83" s="37">
        <v>0</v>
      </c>
      <c r="M83" s="32"/>
      <c r="N83" s="32"/>
      <c r="P83" s="33"/>
    </row>
    <row r="84" spans="1:16" ht="15">
      <c r="A84" s="36">
        <v>2031</v>
      </c>
      <c r="B84" s="38">
        <v>428</v>
      </c>
      <c r="C84" s="38">
        <v>994</v>
      </c>
      <c r="D84" s="38" t="s">
        <v>433</v>
      </c>
      <c r="E84" s="32"/>
      <c r="F84" s="32"/>
      <c r="G84" s="32"/>
      <c r="H84" s="35">
        <v>2031</v>
      </c>
      <c r="I84" s="38">
        <v>0</v>
      </c>
      <c r="J84" s="38">
        <v>0</v>
      </c>
      <c r="K84" s="38">
        <v>0</v>
      </c>
      <c r="L84" s="37">
        <v>0</v>
      </c>
      <c r="M84" s="32"/>
      <c r="N84" s="32"/>
      <c r="P84" s="33"/>
    </row>
    <row r="85" spans="1:16" ht="15">
      <c r="A85" s="36">
        <v>2032</v>
      </c>
      <c r="B85" s="38">
        <v>496</v>
      </c>
      <c r="C85" s="38">
        <v>926</v>
      </c>
      <c r="D85" s="38" t="s">
        <v>433</v>
      </c>
      <c r="E85" s="32"/>
      <c r="F85" s="32"/>
      <c r="G85" s="32"/>
      <c r="H85" s="35">
        <v>2032</v>
      </c>
      <c r="I85" s="38">
        <v>0</v>
      </c>
      <c r="J85" s="38">
        <v>0</v>
      </c>
      <c r="K85" s="38">
        <v>0</v>
      </c>
      <c r="L85" s="37">
        <v>0</v>
      </c>
      <c r="M85" s="32"/>
      <c r="N85" s="32"/>
      <c r="P85" s="33"/>
    </row>
    <row r="86" spans="1:16" ht="15">
      <c r="A86" s="36">
        <v>2033</v>
      </c>
      <c r="B86" s="38">
        <v>496</v>
      </c>
      <c r="C86" s="38">
        <v>926</v>
      </c>
      <c r="D86" s="38" t="s">
        <v>433</v>
      </c>
      <c r="E86" s="32"/>
      <c r="F86" s="32"/>
      <c r="G86" s="32"/>
      <c r="H86" s="35">
        <v>2033</v>
      </c>
      <c r="I86" s="38">
        <v>0</v>
      </c>
      <c r="J86" s="38">
        <v>0</v>
      </c>
      <c r="K86" s="38">
        <v>0</v>
      </c>
      <c r="L86" s="37">
        <v>0</v>
      </c>
      <c r="M86" s="32"/>
      <c r="N86" s="32"/>
      <c r="P86" s="33"/>
    </row>
    <row r="87" spans="1:16" ht="15">
      <c r="A87" s="36">
        <v>2034</v>
      </c>
      <c r="B87" s="38">
        <v>496</v>
      </c>
      <c r="C87" s="38">
        <v>926</v>
      </c>
      <c r="D87" s="38" t="s">
        <v>433</v>
      </c>
      <c r="E87" s="32"/>
      <c r="F87" s="32"/>
      <c r="G87" s="32"/>
      <c r="H87" s="35">
        <v>2034</v>
      </c>
      <c r="I87" s="38">
        <v>0</v>
      </c>
      <c r="J87" s="38">
        <v>0</v>
      </c>
      <c r="K87" s="38">
        <v>0</v>
      </c>
      <c r="L87" s="37">
        <v>0</v>
      </c>
      <c r="M87" s="32"/>
      <c r="N87" s="32"/>
      <c r="P87" s="33"/>
    </row>
    <row r="88" spans="1:16" ht="15">
      <c r="A88" s="36">
        <v>2035</v>
      </c>
      <c r="B88" s="38">
        <v>496</v>
      </c>
      <c r="C88" s="38">
        <v>926</v>
      </c>
      <c r="D88" s="38" t="s">
        <v>433</v>
      </c>
      <c r="E88" s="32"/>
      <c r="F88" s="32"/>
      <c r="G88" s="32"/>
      <c r="H88" s="35">
        <v>2035</v>
      </c>
      <c r="I88" s="38">
        <v>0</v>
      </c>
      <c r="J88" s="38">
        <v>0</v>
      </c>
      <c r="K88" s="38">
        <v>0</v>
      </c>
      <c r="L88" s="37">
        <v>0</v>
      </c>
      <c r="M88" s="32"/>
      <c r="N88" s="32"/>
      <c r="P88" s="33"/>
    </row>
    <row r="89" spans="1:16" ht="15">
      <c r="A89" s="36">
        <v>2036</v>
      </c>
      <c r="B89" s="38">
        <v>496</v>
      </c>
      <c r="C89" s="38">
        <v>926</v>
      </c>
      <c r="D89" s="38" t="s">
        <v>433</v>
      </c>
      <c r="E89" s="32"/>
      <c r="F89" s="32"/>
      <c r="G89" s="32"/>
      <c r="H89" s="35">
        <v>2036</v>
      </c>
      <c r="I89" s="38">
        <v>0</v>
      </c>
      <c r="J89" s="38">
        <v>0</v>
      </c>
      <c r="K89" s="38">
        <v>0</v>
      </c>
      <c r="L89" s="37">
        <v>0</v>
      </c>
      <c r="M89" s="32"/>
      <c r="N89" s="32"/>
      <c r="P89" s="33"/>
    </row>
    <row r="90" spans="1:16" ht="15">
      <c r="A90" s="36">
        <v>2037</v>
      </c>
      <c r="B90" s="38">
        <v>496</v>
      </c>
      <c r="C90" s="38">
        <v>926</v>
      </c>
      <c r="D90" s="38" t="s">
        <v>433</v>
      </c>
      <c r="E90" s="32"/>
      <c r="F90" s="32"/>
      <c r="G90" s="32"/>
      <c r="H90" s="35">
        <v>2037</v>
      </c>
      <c r="I90" s="38">
        <v>0</v>
      </c>
      <c r="J90" s="38">
        <v>5</v>
      </c>
      <c r="K90" s="38">
        <v>5</v>
      </c>
      <c r="L90" s="37">
        <v>40</v>
      </c>
      <c r="M90" s="32"/>
      <c r="N90" s="32"/>
      <c r="P90" s="33"/>
    </row>
    <row r="91" spans="1:16" ht="15">
      <c r="A91" s="36">
        <v>2038</v>
      </c>
      <c r="B91" s="38">
        <v>496</v>
      </c>
      <c r="C91" s="38">
        <v>926</v>
      </c>
      <c r="D91" s="38" t="s">
        <v>433</v>
      </c>
      <c r="E91" s="32"/>
      <c r="F91" s="32"/>
      <c r="G91" s="32"/>
      <c r="H91" s="35">
        <v>2038</v>
      </c>
      <c r="I91" s="38">
        <v>0</v>
      </c>
      <c r="J91" s="38">
        <v>20</v>
      </c>
      <c r="K91" s="38">
        <v>20</v>
      </c>
      <c r="L91" s="37">
        <v>40</v>
      </c>
      <c r="M91" s="32"/>
      <c r="N91" s="32"/>
      <c r="P91" s="33"/>
    </row>
    <row r="92" spans="1:16" ht="15">
      <c r="A92" s="36">
        <v>2039</v>
      </c>
      <c r="B92" s="38">
        <v>496</v>
      </c>
      <c r="C92" s="38">
        <v>926</v>
      </c>
      <c r="D92" s="38" t="s">
        <v>433</v>
      </c>
      <c r="E92" s="32"/>
      <c r="F92" s="32"/>
      <c r="G92" s="32"/>
      <c r="H92" s="35">
        <v>2039</v>
      </c>
      <c r="I92" s="38">
        <v>0</v>
      </c>
      <c r="J92" s="38">
        <v>9</v>
      </c>
      <c r="K92" s="38">
        <v>9</v>
      </c>
      <c r="L92" s="37">
        <v>40</v>
      </c>
      <c r="M92" s="32"/>
      <c r="N92" s="32"/>
      <c r="P92" s="33"/>
    </row>
    <row r="93" spans="1:16" ht="15">
      <c r="A93" s="36">
        <v>2040</v>
      </c>
      <c r="B93" s="38">
        <v>496</v>
      </c>
      <c r="C93" s="38">
        <v>926</v>
      </c>
      <c r="D93" s="38" t="s">
        <v>433</v>
      </c>
      <c r="E93" s="32"/>
      <c r="F93" s="32"/>
      <c r="G93" s="32"/>
      <c r="H93" s="35">
        <v>2040</v>
      </c>
      <c r="I93" s="38">
        <v>0</v>
      </c>
      <c r="J93" s="38">
        <v>0</v>
      </c>
      <c r="K93" s="38">
        <v>0</v>
      </c>
      <c r="L93" s="37">
        <v>0</v>
      </c>
      <c r="M93" s="32"/>
      <c r="N93" s="32"/>
      <c r="P93" s="33"/>
    </row>
    <row r="94" spans="1:16" ht="15">
      <c r="A94" s="36">
        <v>2041</v>
      </c>
      <c r="B94" s="38">
        <v>496</v>
      </c>
      <c r="C94" s="38">
        <v>926</v>
      </c>
      <c r="D94" s="38" t="s">
        <v>433</v>
      </c>
      <c r="E94" s="32"/>
      <c r="F94" s="32"/>
      <c r="G94" s="32"/>
      <c r="H94" s="35">
        <v>2041</v>
      </c>
      <c r="I94" s="38">
        <v>0</v>
      </c>
      <c r="J94" s="38">
        <v>1</v>
      </c>
      <c r="K94" s="38">
        <v>1</v>
      </c>
      <c r="L94" s="37">
        <v>40</v>
      </c>
      <c r="M94" s="32"/>
      <c r="N94" s="32"/>
      <c r="P94" s="33"/>
    </row>
    <row r="95" spans="1:16" ht="15">
      <c r="A95" s="36">
        <v>2042</v>
      </c>
      <c r="B95" s="38">
        <v>496</v>
      </c>
      <c r="C95" s="38">
        <v>926</v>
      </c>
      <c r="D95" s="38" t="s">
        <v>433</v>
      </c>
      <c r="E95" s="32"/>
      <c r="F95" s="32"/>
      <c r="G95" s="32"/>
      <c r="H95" s="35">
        <v>2042</v>
      </c>
      <c r="I95" s="38">
        <v>0</v>
      </c>
      <c r="J95" s="38">
        <v>6</v>
      </c>
      <c r="K95" s="38">
        <v>6</v>
      </c>
      <c r="L95" s="37">
        <v>40</v>
      </c>
      <c r="M95" s="32"/>
      <c r="N95" s="32"/>
      <c r="P95" s="33"/>
    </row>
    <row r="96" spans="1:16" ht="15">
      <c r="A96" s="36">
        <v>2043</v>
      </c>
      <c r="B96" s="38">
        <v>496</v>
      </c>
      <c r="C96" s="38">
        <v>926</v>
      </c>
      <c r="D96" s="38" t="s">
        <v>433</v>
      </c>
      <c r="E96" s="32"/>
      <c r="F96" s="32"/>
      <c r="G96" s="32"/>
      <c r="H96" s="35">
        <v>2043</v>
      </c>
      <c r="I96" s="38">
        <v>0</v>
      </c>
      <c r="J96" s="38">
        <v>1</v>
      </c>
      <c r="K96" s="38">
        <v>1</v>
      </c>
      <c r="L96" s="37">
        <v>40</v>
      </c>
      <c r="M96" s="32"/>
      <c r="N96" s="32"/>
      <c r="P96" s="33"/>
    </row>
    <row r="97" spans="1:16" ht="15">
      <c r="A97" s="36">
        <v>2044</v>
      </c>
      <c r="B97" s="38">
        <v>496</v>
      </c>
      <c r="C97" s="38">
        <v>966</v>
      </c>
      <c r="D97" s="38" t="s">
        <v>434</v>
      </c>
      <c r="E97" s="32"/>
      <c r="F97" s="32"/>
      <c r="G97" s="32"/>
      <c r="H97" s="35">
        <v>2044</v>
      </c>
      <c r="I97" s="38">
        <v>0</v>
      </c>
      <c r="J97" s="38">
        <v>1</v>
      </c>
      <c r="K97" s="38">
        <v>1</v>
      </c>
      <c r="L97" s="37">
        <v>40</v>
      </c>
      <c r="M97" s="32"/>
      <c r="N97" s="32"/>
      <c r="P97" s="33"/>
    </row>
    <row r="98" spans="1:16" ht="15">
      <c r="A98" s="36">
        <v>2045</v>
      </c>
      <c r="B98" s="38">
        <v>496</v>
      </c>
      <c r="C98" s="38">
        <v>966</v>
      </c>
      <c r="D98" s="38" t="s">
        <v>434</v>
      </c>
      <c r="E98" s="32"/>
      <c r="F98" s="32"/>
      <c r="G98" s="32"/>
      <c r="H98" s="35">
        <v>2045</v>
      </c>
      <c r="I98" s="38">
        <v>0</v>
      </c>
      <c r="J98" s="38">
        <v>0</v>
      </c>
      <c r="K98" s="38">
        <v>0</v>
      </c>
      <c r="L98" s="37">
        <v>0</v>
      </c>
      <c r="M98" s="32"/>
      <c r="N98" s="32"/>
      <c r="P98" s="33"/>
    </row>
    <row r="99" spans="1:16" ht="15">
      <c r="A99" s="36">
        <v>2046</v>
      </c>
      <c r="B99" s="38">
        <v>496</v>
      </c>
      <c r="C99" s="38">
        <v>966</v>
      </c>
      <c r="D99" s="38" t="s">
        <v>434</v>
      </c>
      <c r="E99" s="32"/>
      <c r="F99" s="32"/>
      <c r="G99" s="32"/>
      <c r="H99" s="35">
        <v>2046</v>
      </c>
      <c r="I99" s="38">
        <v>0</v>
      </c>
      <c r="J99" s="38">
        <v>0</v>
      </c>
      <c r="K99" s="38">
        <v>0</v>
      </c>
      <c r="L99" s="37">
        <v>0</v>
      </c>
      <c r="M99" s="32"/>
      <c r="N99" s="32"/>
      <c r="P99" s="33"/>
    </row>
    <row r="100" spans="1:16" ht="15">
      <c r="A100" s="36">
        <v>2047</v>
      </c>
      <c r="B100" s="38">
        <v>496</v>
      </c>
      <c r="C100" s="38">
        <v>966</v>
      </c>
      <c r="D100" s="38" t="s">
        <v>434</v>
      </c>
      <c r="E100" s="32"/>
      <c r="F100" s="32"/>
      <c r="G100" s="32"/>
      <c r="H100" s="35">
        <v>2047</v>
      </c>
      <c r="I100" s="38">
        <v>0</v>
      </c>
      <c r="J100" s="38">
        <v>0</v>
      </c>
      <c r="K100" s="38">
        <v>0</v>
      </c>
      <c r="L100" s="37">
        <v>0</v>
      </c>
      <c r="M100" s="32"/>
      <c r="N100" s="32"/>
      <c r="P100" s="33"/>
    </row>
    <row r="101" spans="1:16" ht="15">
      <c r="A101" s="36">
        <v>2048</v>
      </c>
      <c r="B101" s="38">
        <v>496</v>
      </c>
      <c r="C101" s="38">
        <v>966</v>
      </c>
      <c r="D101" s="38" t="s">
        <v>434</v>
      </c>
      <c r="E101" s="32"/>
      <c r="F101" s="32"/>
      <c r="G101" s="32"/>
      <c r="H101" s="35">
        <v>2048</v>
      </c>
      <c r="I101" s="38">
        <v>0</v>
      </c>
      <c r="J101" s="38">
        <v>0</v>
      </c>
      <c r="K101" s="38">
        <v>0</v>
      </c>
      <c r="L101" s="37">
        <v>0</v>
      </c>
      <c r="M101" s="32"/>
      <c r="N101" s="32"/>
      <c r="P101" s="33"/>
    </row>
    <row r="102" spans="1:16" ht="15">
      <c r="A102" s="36">
        <v>2049</v>
      </c>
      <c r="B102" s="38">
        <v>496</v>
      </c>
      <c r="C102" s="38">
        <v>966</v>
      </c>
      <c r="D102" s="38" t="s">
        <v>434</v>
      </c>
      <c r="E102" s="32"/>
      <c r="F102" s="32"/>
      <c r="G102" s="32"/>
      <c r="H102" s="35">
        <v>2049</v>
      </c>
      <c r="I102" s="38">
        <v>0</v>
      </c>
      <c r="J102" s="38">
        <v>1</v>
      </c>
      <c r="K102" s="38">
        <v>1</v>
      </c>
      <c r="L102" s="37">
        <v>40</v>
      </c>
      <c r="M102" s="32"/>
      <c r="N102" s="32"/>
      <c r="P102" s="33"/>
    </row>
    <row r="103" spans="1:16" ht="15">
      <c r="A103" s="36">
        <v>2050</v>
      </c>
      <c r="B103" s="38">
        <v>496</v>
      </c>
      <c r="C103" s="38">
        <v>966</v>
      </c>
      <c r="D103" s="38" t="s">
        <v>434</v>
      </c>
      <c r="E103" s="32"/>
      <c r="F103" s="32"/>
      <c r="G103" s="32"/>
      <c r="H103" s="35">
        <v>2050</v>
      </c>
      <c r="I103" s="38">
        <v>0</v>
      </c>
      <c r="J103" s="38">
        <v>0</v>
      </c>
      <c r="K103" s="38">
        <v>0</v>
      </c>
      <c r="L103" s="37">
        <v>0</v>
      </c>
      <c r="M103" s="32"/>
      <c r="N103" s="32"/>
      <c r="P103" s="33"/>
    </row>
    <row r="104" spans="1:16" ht="15">
      <c r="A104" s="36">
        <v>2051</v>
      </c>
      <c r="B104" s="38">
        <v>496</v>
      </c>
      <c r="C104" s="38">
        <v>966</v>
      </c>
      <c r="D104" s="38" t="s">
        <v>434</v>
      </c>
      <c r="E104" s="32"/>
      <c r="F104" s="32"/>
      <c r="G104" s="32"/>
      <c r="H104" s="35">
        <v>2051</v>
      </c>
      <c r="I104" s="38">
        <v>0</v>
      </c>
      <c r="J104" s="38">
        <v>0</v>
      </c>
      <c r="K104" s="38">
        <v>0</v>
      </c>
      <c r="L104" s="37">
        <v>0</v>
      </c>
      <c r="M104" s="32"/>
      <c r="N104" s="32"/>
      <c r="P104" s="33"/>
    </row>
    <row r="105" spans="1:16" ht="15">
      <c r="A105" s="36">
        <v>2052</v>
      </c>
      <c r="B105" s="38">
        <v>496</v>
      </c>
      <c r="C105" s="38">
        <v>966</v>
      </c>
      <c r="D105" s="38" t="s">
        <v>434</v>
      </c>
      <c r="E105" s="32"/>
      <c r="F105" s="32"/>
      <c r="G105" s="32"/>
      <c r="H105" s="35">
        <v>2052</v>
      </c>
      <c r="I105" s="38">
        <v>0</v>
      </c>
      <c r="J105" s="38">
        <v>0</v>
      </c>
      <c r="K105" s="38">
        <v>0</v>
      </c>
      <c r="L105" s="37">
        <v>0</v>
      </c>
      <c r="M105" s="32"/>
      <c r="N105" s="32"/>
      <c r="P105" s="33"/>
    </row>
    <row r="106" spans="1:16" ht="15">
      <c r="A106" s="36">
        <v>2053</v>
      </c>
      <c r="B106" s="38">
        <v>496</v>
      </c>
      <c r="C106" s="38">
        <v>966</v>
      </c>
      <c r="D106" s="38" t="s">
        <v>434</v>
      </c>
      <c r="E106" s="32"/>
      <c r="F106" s="32"/>
      <c r="G106" s="32"/>
      <c r="H106" s="35">
        <v>2053</v>
      </c>
      <c r="I106" s="38">
        <v>0</v>
      </c>
      <c r="J106" s="38">
        <v>0</v>
      </c>
      <c r="K106" s="38">
        <v>0</v>
      </c>
      <c r="L106" s="37">
        <v>0</v>
      </c>
      <c r="M106" s="32"/>
      <c r="N106" s="32"/>
      <c r="P106" s="33"/>
    </row>
    <row r="107" spans="1:16" ht="15">
      <c r="A107" s="36">
        <v>2054</v>
      </c>
      <c r="B107" s="38">
        <v>496</v>
      </c>
      <c r="C107" s="38">
        <v>966</v>
      </c>
      <c r="D107" s="38" t="s">
        <v>434</v>
      </c>
      <c r="E107" s="32"/>
      <c r="F107" s="32"/>
      <c r="G107" s="32"/>
      <c r="H107" s="35">
        <v>2054</v>
      </c>
      <c r="I107" s="38">
        <v>0</v>
      </c>
      <c r="J107" s="38">
        <v>0</v>
      </c>
      <c r="K107" s="38">
        <v>0</v>
      </c>
      <c r="L107" s="37">
        <v>0</v>
      </c>
      <c r="M107" s="32"/>
      <c r="N107" s="32"/>
      <c r="P107" s="33"/>
    </row>
    <row r="108" spans="1:16" ht="15">
      <c r="A108" s="36">
        <v>2055</v>
      </c>
      <c r="B108" s="38">
        <v>509</v>
      </c>
      <c r="C108" s="38">
        <v>953</v>
      </c>
      <c r="D108" s="38" t="s">
        <v>434</v>
      </c>
      <c r="E108" s="32"/>
      <c r="F108" s="32"/>
      <c r="G108" s="32"/>
      <c r="H108" s="35">
        <v>2055</v>
      </c>
      <c r="I108" s="38">
        <v>0</v>
      </c>
      <c r="J108" s="38">
        <v>19</v>
      </c>
      <c r="K108" s="38">
        <v>19</v>
      </c>
      <c r="L108" s="37">
        <v>40</v>
      </c>
      <c r="M108" s="32"/>
      <c r="N108" s="32"/>
      <c r="P108" s="33"/>
    </row>
    <row r="109" spans="1:16" ht="15">
      <c r="A109" s="36">
        <v>2056</v>
      </c>
      <c r="B109" s="38">
        <v>514</v>
      </c>
      <c r="C109" s="38">
        <v>948</v>
      </c>
      <c r="D109" s="38" t="s">
        <v>434</v>
      </c>
      <c r="E109" s="32"/>
      <c r="F109" s="32"/>
      <c r="G109" s="32"/>
      <c r="H109" s="35">
        <v>2056</v>
      </c>
      <c r="I109" s="38">
        <v>0</v>
      </c>
      <c r="J109" s="38">
        <v>0</v>
      </c>
      <c r="K109" s="38">
        <v>0</v>
      </c>
      <c r="L109" s="37">
        <v>0</v>
      </c>
      <c r="M109" s="32"/>
      <c r="N109" s="32"/>
      <c r="P109" s="33"/>
    </row>
    <row r="110" spans="1:16" ht="15">
      <c r="A110" s="36">
        <v>2057</v>
      </c>
      <c r="B110" s="38">
        <v>514</v>
      </c>
      <c r="C110" s="38">
        <v>948</v>
      </c>
      <c r="D110" s="38" t="s">
        <v>434</v>
      </c>
      <c r="E110" s="32"/>
      <c r="F110" s="32"/>
      <c r="G110" s="32"/>
      <c r="H110" s="35">
        <v>2057</v>
      </c>
      <c r="I110" s="38">
        <v>0</v>
      </c>
      <c r="J110" s="38">
        <v>0</v>
      </c>
      <c r="K110" s="38">
        <v>0</v>
      </c>
      <c r="L110" s="37">
        <v>0</v>
      </c>
      <c r="M110" s="32"/>
      <c r="N110" s="32"/>
      <c r="P110" s="33"/>
    </row>
    <row r="111" spans="1:16" ht="15">
      <c r="A111" s="36">
        <v>2058</v>
      </c>
      <c r="B111" s="38">
        <v>514</v>
      </c>
      <c r="C111" s="38">
        <v>948</v>
      </c>
      <c r="D111" s="38" t="s">
        <v>434</v>
      </c>
      <c r="E111" s="32"/>
      <c r="F111" s="32"/>
      <c r="G111" s="32"/>
      <c r="H111" s="35">
        <v>2058</v>
      </c>
      <c r="I111" s="38">
        <v>0</v>
      </c>
      <c r="J111" s="38">
        <v>0</v>
      </c>
      <c r="K111" s="38">
        <v>0</v>
      </c>
      <c r="L111" s="37">
        <v>0</v>
      </c>
      <c r="M111" s="32"/>
      <c r="N111" s="32"/>
      <c r="P111" s="33"/>
    </row>
    <row r="112" spans="1:16" ht="15">
      <c r="A112" s="36">
        <v>2059</v>
      </c>
      <c r="B112" s="38">
        <v>514</v>
      </c>
      <c r="C112" s="38">
        <v>948</v>
      </c>
      <c r="D112" s="38" t="s">
        <v>434</v>
      </c>
      <c r="E112" s="32"/>
      <c r="F112" s="32"/>
      <c r="G112" s="32"/>
      <c r="H112" s="35">
        <v>2059</v>
      </c>
      <c r="I112" s="38">
        <v>0</v>
      </c>
      <c r="J112" s="38">
        <v>0</v>
      </c>
      <c r="K112" s="38">
        <v>0</v>
      </c>
      <c r="L112" s="37">
        <v>0</v>
      </c>
      <c r="M112" s="32"/>
      <c r="N112" s="32"/>
      <c r="P112" s="33"/>
    </row>
    <row r="113" spans="1:16" ht="15">
      <c r="A113" s="36">
        <v>2060</v>
      </c>
      <c r="B113" s="38">
        <v>514</v>
      </c>
      <c r="C113" s="38">
        <v>948</v>
      </c>
      <c r="D113" s="38" t="s">
        <v>434</v>
      </c>
      <c r="E113" s="32"/>
      <c r="F113" s="32"/>
      <c r="G113" s="32"/>
      <c r="H113" s="35">
        <v>2060</v>
      </c>
      <c r="I113" s="38">
        <v>0</v>
      </c>
      <c r="J113" s="38">
        <v>0</v>
      </c>
      <c r="K113" s="38">
        <v>0</v>
      </c>
      <c r="L113" s="37">
        <v>0</v>
      </c>
      <c r="M113" s="32"/>
      <c r="N113" s="32"/>
      <c r="P113" s="33"/>
    </row>
    <row r="114" spans="1:16" ht="15">
      <c r="A114" s="36"/>
      <c r="B114" s="39"/>
      <c r="C114" s="39"/>
      <c r="D114" s="39"/>
      <c r="E114" s="32"/>
      <c r="F114" s="32"/>
      <c r="G114" s="32"/>
      <c r="H114" s="35"/>
      <c r="I114" s="39"/>
      <c r="J114" s="39"/>
      <c r="K114" s="39"/>
      <c r="L114" s="32"/>
      <c r="M114" s="32"/>
      <c r="N114" s="32"/>
      <c r="P114" s="33"/>
    </row>
    <row r="115" spans="1:16" ht="15">
      <c r="A115" s="36" t="s">
        <v>422</v>
      </c>
      <c r="B115" s="35" t="s">
        <v>423</v>
      </c>
      <c r="C115" s="40"/>
      <c r="D115" s="40"/>
      <c r="E115" s="32"/>
      <c r="F115" s="32"/>
      <c r="G115" s="32"/>
      <c r="H115" s="35" t="s">
        <v>422</v>
      </c>
      <c r="I115" s="35" t="s">
        <v>423</v>
      </c>
      <c r="J115" s="40"/>
      <c r="K115" s="40"/>
      <c r="L115" s="32"/>
      <c r="M115" s="32"/>
      <c r="N115" s="32"/>
      <c r="P115" s="33"/>
    </row>
    <row r="116" spans="1:16" ht="15">
      <c r="A116" s="36"/>
      <c r="B116" s="37"/>
      <c r="C116" s="39"/>
      <c r="D116" s="39"/>
      <c r="E116" s="32"/>
      <c r="F116" s="32"/>
      <c r="G116" s="32"/>
      <c r="H116" s="35"/>
      <c r="I116" s="37"/>
      <c r="J116" s="39"/>
      <c r="K116" s="39"/>
      <c r="L116" s="32"/>
      <c r="M116" s="32"/>
      <c r="N116" s="32"/>
      <c r="P116" s="33"/>
    </row>
    <row r="117" spans="1:16" ht="15">
      <c r="A117" s="36"/>
      <c r="B117" s="39"/>
      <c r="C117" s="39"/>
      <c r="D117" s="39"/>
      <c r="E117" s="32"/>
      <c r="F117" s="32"/>
      <c r="G117" s="32"/>
      <c r="H117" s="35"/>
      <c r="I117" s="39"/>
      <c r="J117" s="39"/>
      <c r="K117" s="39"/>
      <c r="L117" s="32"/>
      <c r="M117" s="32"/>
      <c r="N117" s="32"/>
      <c r="P117" s="33"/>
    </row>
    <row r="118" spans="1:16" ht="15">
      <c r="A118" s="36"/>
      <c r="B118" s="39"/>
      <c r="C118" s="39"/>
      <c r="D118" s="39"/>
      <c r="E118" s="32"/>
      <c r="F118" s="32"/>
      <c r="G118" s="32"/>
      <c r="H118" s="35"/>
      <c r="I118" s="39"/>
      <c r="J118" s="39"/>
      <c r="K118" s="39"/>
      <c r="L118" s="32"/>
      <c r="M118" s="32"/>
      <c r="N118" s="32"/>
      <c r="P118" s="33"/>
    </row>
    <row r="119" spans="1:16" ht="15">
      <c r="A119" s="36"/>
      <c r="B119" s="39"/>
      <c r="C119" s="39"/>
      <c r="D119" s="39"/>
      <c r="E119" s="32"/>
      <c r="F119" s="32"/>
      <c r="G119" s="32"/>
      <c r="H119" s="35"/>
      <c r="I119" s="39"/>
      <c r="J119" s="39"/>
      <c r="K119" s="39"/>
      <c r="L119" s="32"/>
      <c r="M119" s="32"/>
      <c r="N119" s="32"/>
      <c r="P119" s="33"/>
    </row>
    <row r="120" spans="1:16" ht="15">
      <c r="A120" s="36"/>
      <c r="B120" s="39"/>
      <c r="C120" s="39"/>
      <c r="D120" s="39"/>
      <c r="E120" s="32"/>
      <c r="F120" s="32"/>
      <c r="G120" s="32"/>
      <c r="H120" s="35"/>
      <c r="I120" s="39"/>
      <c r="J120" s="39"/>
      <c r="K120" s="39"/>
      <c r="L120" s="32"/>
      <c r="M120" s="32"/>
      <c r="N120" s="32"/>
      <c r="P120" s="33"/>
    </row>
    <row r="121" spans="1:16" ht="15">
      <c r="A121" s="36"/>
      <c r="B121" s="39"/>
      <c r="C121" s="39"/>
      <c r="D121" s="39"/>
      <c r="E121" s="32"/>
      <c r="F121" s="32"/>
      <c r="G121" s="32"/>
      <c r="H121" s="35"/>
      <c r="I121" s="39"/>
      <c r="J121" s="39"/>
      <c r="K121" s="39"/>
      <c r="L121" s="32"/>
      <c r="M121" s="32"/>
      <c r="N121" s="32"/>
      <c r="P121" s="33"/>
    </row>
    <row r="122" spans="1:16" ht="15">
      <c r="A122" s="36"/>
      <c r="B122" s="39"/>
      <c r="C122" s="39"/>
      <c r="D122" s="39"/>
      <c r="E122" s="32"/>
      <c r="F122" s="32"/>
      <c r="G122" s="32"/>
      <c r="H122" s="35"/>
      <c r="I122" s="39"/>
      <c r="J122" s="39"/>
      <c r="K122" s="39"/>
      <c r="L122" s="32"/>
      <c r="M122" s="32"/>
      <c r="N122" s="32"/>
      <c r="P122" s="33"/>
    </row>
    <row r="123" spans="1:16" ht="15">
      <c r="A123" s="36"/>
      <c r="B123" s="39"/>
      <c r="C123" s="39"/>
      <c r="D123" s="39"/>
      <c r="E123" s="32"/>
      <c r="F123" s="32"/>
      <c r="G123" s="32"/>
      <c r="H123" s="35"/>
      <c r="I123" s="39"/>
      <c r="J123" s="39"/>
      <c r="K123" s="39"/>
      <c r="L123" s="32"/>
      <c r="M123" s="32"/>
      <c r="N123" s="32"/>
      <c r="P123" s="33"/>
    </row>
    <row r="124" spans="1:16" ht="15">
      <c r="A124" s="36"/>
      <c r="B124" s="39"/>
      <c r="C124" s="39"/>
      <c r="D124" s="39"/>
      <c r="E124" s="32"/>
      <c r="F124" s="32"/>
      <c r="G124" s="32"/>
      <c r="H124" s="35"/>
      <c r="I124" s="39"/>
      <c r="J124" s="39"/>
      <c r="K124" s="39"/>
      <c r="L124" s="32"/>
      <c r="M124" s="32"/>
      <c r="N124" s="32"/>
      <c r="P124" s="33"/>
    </row>
    <row r="125" spans="1:16" ht="15">
      <c r="A125" s="36"/>
      <c r="B125" s="39"/>
      <c r="C125" s="39"/>
      <c r="D125" s="39"/>
      <c r="E125" s="32"/>
      <c r="F125" s="32"/>
      <c r="G125" s="32"/>
      <c r="H125" s="32"/>
      <c r="I125" s="32"/>
      <c r="J125" s="32"/>
      <c r="K125" s="32"/>
      <c r="L125" s="32"/>
      <c r="M125" s="32"/>
      <c r="N125" s="32"/>
      <c r="P125" s="33"/>
    </row>
    <row r="126" spans="1:16" ht="15.75">
      <c r="A126" s="34" t="s">
        <v>435</v>
      </c>
      <c r="B126" s="32"/>
      <c r="C126" s="32"/>
      <c r="D126" s="32"/>
      <c r="E126" s="32"/>
      <c r="F126" s="32"/>
      <c r="G126" s="32"/>
      <c r="H126" s="32"/>
      <c r="I126" s="32"/>
      <c r="J126" s="32"/>
      <c r="K126" s="32"/>
      <c r="L126" s="32"/>
      <c r="M126" s="32"/>
      <c r="N126" s="32"/>
      <c r="P126" s="33"/>
    </row>
    <row r="127" spans="1:16">
      <c r="A127" s="228" t="s">
        <v>436</v>
      </c>
      <c r="B127" s="227"/>
      <c r="C127" s="227"/>
      <c r="D127" s="227"/>
      <c r="E127" s="227"/>
      <c r="F127" s="227"/>
      <c r="G127" s="227"/>
      <c r="H127" s="227"/>
      <c r="I127" s="227"/>
      <c r="J127" s="227"/>
      <c r="K127" s="227"/>
      <c r="L127" s="227"/>
      <c r="M127" s="227"/>
      <c r="N127" s="227"/>
      <c r="P127" s="33"/>
    </row>
    <row r="128" spans="1:16">
      <c r="A128" s="228"/>
      <c r="B128" s="227"/>
      <c r="C128" s="227"/>
      <c r="D128" s="227"/>
      <c r="E128" s="227"/>
      <c r="F128" s="227"/>
      <c r="G128" s="227"/>
      <c r="H128" s="227"/>
      <c r="I128" s="227"/>
      <c r="J128" s="227"/>
      <c r="K128" s="227"/>
      <c r="L128" s="227"/>
      <c r="M128" s="227"/>
      <c r="N128" s="227"/>
      <c r="P128" s="33"/>
    </row>
    <row r="129" spans="1:16" ht="15">
      <c r="A129" s="36" t="s">
        <v>437</v>
      </c>
      <c r="B129" s="32"/>
      <c r="C129" s="32"/>
      <c r="D129" s="32"/>
      <c r="E129" s="32"/>
      <c r="F129" s="32"/>
      <c r="G129" s="32"/>
      <c r="H129" s="32"/>
      <c r="I129" s="32"/>
      <c r="J129" s="32"/>
      <c r="K129" s="32"/>
      <c r="L129" s="32"/>
      <c r="M129" s="32"/>
      <c r="N129" s="32"/>
      <c r="P129" s="33"/>
    </row>
    <row r="130" spans="1:16" ht="15">
      <c r="A130" s="36"/>
      <c r="B130" s="32"/>
      <c r="C130" s="32"/>
      <c r="D130" s="32"/>
      <c r="E130" s="32"/>
      <c r="F130" s="32"/>
      <c r="G130" s="32"/>
      <c r="H130" s="32"/>
      <c r="I130" s="32"/>
      <c r="J130" s="32"/>
      <c r="K130" s="32"/>
      <c r="L130" s="32"/>
      <c r="M130" s="32"/>
      <c r="N130" s="32"/>
      <c r="P130" s="33"/>
    </row>
    <row r="131" spans="1:16" ht="15">
      <c r="A131" s="42" t="s">
        <v>359</v>
      </c>
      <c r="B131" s="43" t="s">
        <v>360</v>
      </c>
      <c r="C131" s="43" t="s">
        <v>361</v>
      </c>
      <c r="D131" s="43" t="s">
        <v>362</v>
      </c>
      <c r="E131" s="43" t="s">
        <v>438</v>
      </c>
      <c r="F131" s="43" t="s">
        <v>439</v>
      </c>
      <c r="G131" s="43" t="s">
        <v>440</v>
      </c>
      <c r="H131" s="32"/>
      <c r="I131" s="32"/>
      <c r="J131" s="32"/>
      <c r="K131" s="32"/>
      <c r="L131" s="32"/>
      <c r="M131" s="32"/>
      <c r="N131" s="32"/>
      <c r="P131" s="33"/>
    </row>
    <row r="132" spans="1:16" ht="15">
      <c r="A132" s="42" t="s">
        <v>365</v>
      </c>
      <c r="B132" s="43" t="s">
        <v>366</v>
      </c>
      <c r="C132" s="43" t="s">
        <v>366</v>
      </c>
      <c r="D132" s="43" t="s">
        <v>366</v>
      </c>
      <c r="E132" s="32"/>
      <c r="F132" s="32"/>
      <c r="G132" s="32"/>
      <c r="H132" s="32"/>
      <c r="I132" s="32"/>
      <c r="J132" s="32"/>
      <c r="K132" s="32"/>
      <c r="L132" s="32"/>
      <c r="M132" s="32"/>
      <c r="N132" s="32"/>
      <c r="P132" s="33"/>
    </row>
    <row r="133" spans="1:16" ht="15">
      <c r="A133" s="31"/>
      <c r="B133" s="43" t="s">
        <v>369</v>
      </c>
      <c r="C133" s="43" t="s">
        <v>369</v>
      </c>
      <c r="D133" s="43" t="s">
        <v>369</v>
      </c>
      <c r="E133" s="43" t="s">
        <v>369</v>
      </c>
      <c r="F133" s="43" t="s">
        <v>369</v>
      </c>
      <c r="G133" s="43" t="s">
        <v>369</v>
      </c>
      <c r="H133" s="32"/>
      <c r="I133" s="32"/>
      <c r="J133" s="32"/>
      <c r="K133" s="32"/>
      <c r="L133" s="32"/>
      <c r="M133" s="32"/>
      <c r="N133" s="32"/>
      <c r="P133" s="33"/>
    </row>
    <row r="134" spans="1:16" ht="15">
      <c r="A134" s="36">
        <v>2021</v>
      </c>
      <c r="B134" s="38">
        <v>599</v>
      </c>
      <c r="C134" s="38">
        <v>901</v>
      </c>
      <c r="D134" s="38" t="s">
        <v>375</v>
      </c>
      <c r="E134" s="38">
        <v>291</v>
      </c>
      <c r="F134" s="38" t="s">
        <v>441</v>
      </c>
      <c r="G134" s="38">
        <v>202</v>
      </c>
      <c r="H134" s="32"/>
      <c r="I134" s="32"/>
      <c r="J134" s="32"/>
      <c r="K134" s="32"/>
      <c r="L134" s="32"/>
      <c r="M134" s="32"/>
      <c r="N134" s="32"/>
      <c r="P134" s="33"/>
    </row>
    <row r="135" spans="1:16" ht="15">
      <c r="A135" s="36">
        <v>2022</v>
      </c>
      <c r="B135" s="38">
        <v>748</v>
      </c>
      <c r="C135" s="38" t="s">
        <v>442</v>
      </c>
      <c r="D135" s="38" t="s">
        <v>379</v>
      </c>
      <c r="E135" s="38">
        <v>414</v>
      </c>
      <c r="F135" s="38" t="s">
        <v>443</v>
      </c>
      <c r="G135" s="38">
        <v>234</v>
      </c>
      <c r="H135" s="32"/>
      <c r="I135" s="32"/>
      <c r="J135" s="32"/>
      <c r="K135" s="32"/>
      <c r="L135" s="32"/>
      <c r="M135" s="32"/>
      <c r="N135" s="32"/>
      <c r="P135" s="33"/>
    </row>
    <row r="136" spans="1:16" ht="15">
      <c r="A136" s="36">
        <v>2023</v>
      </c>
      <c r="B136" s="38">
        <v>716</v>
      </c>
      <c r="C136" s="38" t="s">
        <v>444</v>
      </c>
      <c r="D136" s="38" t="s">
        <v>379</v>
      </c>
      <c r="E136" s="38">
        <v>527</v>
      </c>
      <c r="F136" s="38" t="s">
        <v>445</v>
      </c>
      <c r="G136" s="38">
        <v>208</v>
      </c>
      <c r="H136" s="32"/>
      <c r="I136" s="32"/>
      <c r="J136" s="32"/>
      <c r="K136" s="32"/>
      <c r="L136" s="32"/>
      <c r="M136" s="32"/>
      <c r="N136" s="32"/>
      <c r="P136" s="33"/>
    </row>
    <row r="137" spans="1:16" ht="15">
      <c r="A137" s="36">
        <v>2024</v>
      </c>
      <c r="B137" s="38">
        <v>602</v>
      </c>
      <c r="C137" s="38" t="s">
        <v>446</v>
      </c>
      <c r="D137" s="38" t="s">
        <v>379</v>
      </c>
      <c r="E137" s="38">
        <v>481</v>
      </c>
      <c r="F137" s="38" t="s">
        <v>447</v>
      </c>
      <c r="G137" s="38">
        <v>223</v>
      </c>
      <c r="H137" s="32"/>
      <c r="I137" s="32"/>
      <c r="J137" s="32"/>
      <c r="K137" s="32"/>
      <c r="L137" s="32"/>
      <c r="M137" s="32"/>
      <c r="N137" s="32"/>
      <c r="P137" s="33"/>
    </row>
    <row r="138" spans="1:16" ht="15">
      <c r="A138" s="36">
        <v>2025</v>
      </c>
      <c r="B138" s="38">
        <v>691</v>
      </c>
      <c r="C138" s="38" t="s">
        <v>448</v>
      </c>
      <c r="D138" s="38" t="s">
        <v>379</v>
      </c>
      <c r="E138" s="38">
        <v>345</v>
      </c>
      <c r="F138" s="38" t="s">
        <v>449</v>
      </c>
      <c r="G138" s="38">
        <v>254</v>
      </c>
      <c r="H138" s="32"/>
      <c r="I138" s="32"/>
      <c r="J138" s="32"/>
      <c r="K138" s="32"/>
      <c r="L138" s="32"/>
      <c r="M138" s="32"/>
      <c r="N138" s="32"/>
      <c r="P138" s="33"/>
    </row>
    <row r="139" spans="1:16" ht="15">
      <c r="A139" s="36">
        <v>2026</v>
      </c>
      <c r="B139" s="38">
        <v>595</v>
      </c>
      <c r="C139" s="38" t="s">
        <v>450</v>
      </c>
      <c r="D139" s="38" t="s">
        <v>379</v>
      </c>
      <c r="E139" s="38">
        <v>584</v>
      </c>
      <c r="F139" s="38" t="s">
        <v>391</v>
      </c>
      <c r="G139" s="38">
        <v>198</v>
      </c>
      <c r="H139" s="32"/>
      <c r="I139" s="32"/>
      <c r="J139" s="32"/>
      <c r="K139" s="32"/>
      <c r="L139" s="32"/>
      <c r="M139" s="32"/>
      <c r="N139" s="32"/>
      <c r="P139" s="33"/>
    </row>
    <row r="140" spans="1:16" ht="15">
      <c r="A140" s="36">
        <v>2027</v>
      </c>
      <c r="B140" s="38">
        <v>547</v>
      </c>
      <c r="C140" s="38" t="s">
        <v>451</v>
      </c>
      <c r="D140" s="38" t="s">
        <v>379</v>
      </c>
      <c r="E140" s="38">
        <v>312</v>
      </c>
      <c r="F140" s="38" t="s">
        <v>452</v>
      </c>
      <c r="G140" s="38">
        <v>254</v>
      </c>
      <c r="H140" s="32"/>
      <c r="I140" s="32"/>
      <c r="J140" s="32"/>
      <c r="K140" s="32"/>
      <c r="L140" s="32"/>
      <c r="M140" s="32"/>
      <c r="N140" s="32"/>
      <c r="P140" s="33"/>
    </row>
    <row r="141" spans="1:16" ht="15">
      <c r="A141" s="36">
        <v>2028</v>
      </c>
      <c r="B141" s="38">
        <v>609</v>
      </c>
      <c r="C141" s="38" t="s">
        <v>453</v>
      </c>
      <c r="D141" s="38" t="s">
        <v>379</v>
      </c>
      <c r="E141" s="38">
        <v>405</v>
      </c>
      <c r="F141" s="38" t="s">
        <v>454</v>
      </c>
      <c r="G141" s="38">
        <v>236</v>
      </c>
      <c r="H141" s="32"/>
      <c r="I141" s="32"/>
      <c r="J141" s="32"/>
      <c r="K141" s="32"/>
      <c r="L141" s="32"/>
      <c r="M141" s="32"/>
      <c r="N141" s="32"/>
      <c r="P141" s="33"/>
    </row>
    <row r="142" spans="1:16" ht="15">
      <c r="A142" s="36">
        <v>2029</v>
      </c>
      <c r="B142" s="38">
        <v>715</v>
      </c>
      <c r="C142" s="38" t="s">
        <v>455</v>
      </c>
      <c r="D142" s="38" t="s">
        <v>379</v>
      </c>
      <c r="E142" s="38">
        <v>377</v>
      </c>
      <c r="F142" s="38" t="s">
        <v>456</v>
      </c>
      <c r="G142" s="38">
        <v>243</v>
      </c>
      <c r="H142" s="32"/>
      <c r="I142" s="32"/>
      <c r="J142" s="32"/>
      <c r="K142" s="32"/>
      <c r="L142" s="32"/>
      <c r="M142" s="32"/>
      <c r="N142" s="32"/>
      <c r="P142" s="33"/>
    </row>
    <row r="143" spans="1:16" ht="15">
      <c r="A143" s="36">
        <v>2030</v>
      </c>
      <c r="B143" s="38">
        <v>618</v>
      </c>
      <c r="C143" s="38">
        <v>861</v>
      </c>
      <c r="D143" s="38" t="s">
        <v>387</v>
      </c>
      <c r="E143" s="38">
        <v>236</v>
      </c>
      <c r="F143" s="38" t="s">
        <v>457</v>
      </c>
      <c r="G143" s="38">
        <v>202</v>
      </c>
      <c r="H143" s="32"/>
      <c r="I143" s="32"/>
      <c r="J143" s="32"/>
      <c r="K143" s="32"/>
      <c r="L143" s="32"/>
      <c r="M143" s="32"/>
      <c r="N143" s="32"/>
      <c r="P143" s="33"/>
    </row>
    <row r="144" spans="1:16" ht="15">
      <c r="A144" s="36">
        <v>2031</v>
      </c>
      <c r="B144" s="38">
        <v>428</v>
      </c>
      <c r="C144" s="38">
        <v>755</v>
      </c>
      <c r="D144" s="38" t="s">
        <v>390</v>
      </c>
      <c r="E144" s="38">
        <v>189</v>
      </c>
      <c r="F144" s="38">
        <v>832</v>
      </c>
      <c r="G144" s="38">
        <v>162</v>
      </c>
      <c r="H144" s="32"/>
      <c r="I144" s="32"/>
      <c r="J144" s="32"/>
      <c r="K144" s="32"/>
      <c r="L144" s="32"/>
      <c r="M144" s="32"/>
      <c r="N144" s="32"/>
      <c r="P144" s="33"/>
    </row>
    <row r="145" spans="1:16" ht="15">
      <c r="A145" s="36">
        <v>2032</v>
      </c>
      <c r="B145" s="38">
        <v>484</v>
      </c>
      <c r="C145" s="38">
        <v>462</v>
      </c>
      <c r="D145" s="38">
        <v>946</v>
      </c>
      <c r="E145" s="38">
        <v>194</v>
      </c>
      <c r="F145" s="38">
        <v>628</v>
      </c>
      <c r="G145" s="38">
        <v>124</v>
      </c>
      <c r="H145" s="32"/>
      <c r="I145" s="32"/>
      <c r="J145" s="32"/>
      <c r="K145" s="32"/>
      <c r="L145" s="32"/>
      <c r="M145" s="32"/>
      <c r="N145" s="32"/>
      <c r="P145" s="33"/>
    </row>
    <row r="146" spans="1:16" ht="15">
      <c r="A146" s="36">
        <v>2033</v>
      </c>
      <c r="B146" s="38">
        <v>484</v>
      </c>
      <c r="C146" s="38">
        <v>273</v>
      </c>
      <c r="D146" s="38">
        <v>757</v>
      </c>
      <c r="E146" s="38">
        <v>117</v>
      </c>
      <c r="F146" s="38">
        <v>533</v>
      </c>
      <c r="G146" s="38">
        <v>107</v>
      </c>
      <c r="H146" s="32"/>
      <c r="I146" s="32"/>
      <c r="J146" s="32"/>
      <c r="K146" s="32"/>
      <c r="L146" s="32"/>
      <c r="M146" s="32"/>
      <c r="N146" s="32"/>
      <c r="P146" s="33"/>
    </row>
    <row r="147" spans="1:16" ht="15">
      <c r="A147" s="36">
        <v>2034</v>
      </c>
      <c r="B147" s="38">
        <v>484</v>
      </c>
      <c r="C147" s="38">
        <v>273</v>
      </c>
      <c r="D147" s="38">
        <v>757</v>
      </c>
      <c r="E147" s="38">
        <v>211</v>
      </c>
      <c r="F147" s="38">
        <v>457</v>
      </c>
      <c r="G147" s="38">
        <v>89</v>
      </c>
      <c r="H147" s="32"/>
      <c r="I147" s="32"/>
      <c r="J147" s="32"/>
      <c r="K147" s="32"/>
      <c r="L147" s="32"/>
      <c r="M147" s="32"/>
      <c r="N147" s="32"/>
      <c r="P147" s="33"/>
    </row>
    <row r="148" spans="1:16" ht="15">
      <c r="A148" s="36">
        <v>2035</v>
      </c>
      <c r="B148" s="38">
        <v>484</v>
      </c>
      <c r="C148" s="38">
        <v>318</v>
      </c>
      <c r="D148" s="38">
        <v>802</v>
      </c>
      <c r="E148" s="38">
        <v>245</v>
      </c>
      <c r="F148" s="38">
        <v>466</v>
      </c>
      <c r="G148" s="38">
        <v>91</v>
      </c>
      <c r="H148" s="32"/>
      <c r="I148" s="32"/>
      <c r="J148" s="32"/>
      <c r="K148" s="32"/>
      <c r="L148" s="32"/>
      <c r="M148" s="32"/>
      <c r="N148" s="32"/>
      <c r="P148" s="33"/>
    </row>
    <row r="149" spans="1:16" ht="15">
      <c r="A149" s="36">
        <v>2036</v>
      </c>
      <c r="B149" s="38">
        <v>484</v>
      </c>
      <c r="C149" s="38">
        <v>318</v>
      </c>
      <c r="D149" s="38">
        <v>802</v>
      </c>
      <c r="E149" s="38">
        <v>197</v>
      </c>
      <c r="F149" s="38">
        <v>504</v>
      </c>
      <c r="G149" s="38">
        <v>101</v>
      </c>
      <c r="H149" s="32"/>
      <c r="I149" s="32"/>
      <c r="J149" s="32"/>
      <c r="K149" s="32"/>
      <c r="L149" s="32"/>
      <c r="M149" s="32"/>
      <c r="N149" s="32"/>
      <c r="P149" s="33"/>
    </row>
    <row r="150" spans="1:16" ht="15">
      <c r="A150" s="36">
        <v>2037</v>
      </c>
      <c r="B150" s="38">
        <v>484</v>
      </c>
      <c r="C150" s="38">
        <v>344</v>
      </c>
      <c r="D150" s="38">
        <v>828</v>
      </c>
      <c r="E150" s="38">
        <v>141</v>
      </c>
      <c r="F150" s="38">
        <v>565</v>
      </c>
      <c r="G150" s="38">
        <v>122</v>
      </c>
      <c r="H150" s="32"/>
      <c r="I150" s="32"/>
      <c r="J150" s="32"/>
      <c r="K150" s="32"/>
      <c r="L150" s="32"/>
      <c r="M150" s="32"/>
      <c r="N150" s="32"/>
      <c r="P150" s="33"/>
    </row>
    <row r="151" spans="1:16" ht="15">
      <c r="A151" s="36">
        <v>2038</v>
      </c>
      <c r="B151" s="38">
        <v>484</v>
      </c>
      <c r="C151" s="38">
        <v>344</v>
      </c>
      <c r="D151" s="38">
        <v>828</v>
      </c>
      <c r="E151" s="38">
        <v>231</v>
      </c>
      <c r="F151" s="38">
        <v>500</v>
      </c>
      <c r="G151" s="38">
        <v>98</v>
      </c>
      <c r="H151" s="32"/>
      <c r="I151" s="32"/>
      <c r="J151" s="32"/>
      <c r="K151" s="32"/>
      <c r="L151" s="32"/>
      <c r="M151" s="32"/>
      <c r="N151" s="32"/>
      <c r="P151" s="33"/>
    </row>
    <row r="152" spans="1:16" ht="15">
      <c r="A152" s="36">
        <v>2039</v>
      </c>
      <c r="B152" s="38">
        <v>484</v>
      </c>
      <c r="C152" s="38">
        <v>487</v>
      </c>
      <c r="D152" s="38">
        <v>971</v>
      </c>
      <c r="E152" s="38">
        <v>191</v>
      </c>
      <c r="F152" s="38">
        <v>640</v>
      </c>
      <c r="G152" s="38">
        <v>140</v>
      </c>
      <c r="H152" s="32"/>
      <c r="I152" s="32"/>
      <c r="J152" s="32"/>
      <c r="K152" s="32"/>
      <c r="L152" s="32"/>
      <c r="M152" s="32"/>
      <c r="N152" s="32"/>
      <c r="P152" s="33"/>
    </row>
    <row r="153" spans="1:16" ht="15">
      <c r="A153" s="36">
        <v>2040</v>
      </c>
      <c r="B153" s="38">
        <v>484</v>
      </c>
      <c r="C153" s="38">
        <v>682</v>
      </c>
      <c r="D153" s="38" t="s">
        <v>394</v>
      </c>
      <c r="E153" s="38">
        <v>228</v>
      </c>
      <c r="F153" s="38">
        <v>765</v>
      </c>
      <c r="G153" s="38">
        <v>172</v>
      </c>
      <c r="H153" s="32"/>
      <c r="I153" s="32"/>
      <c r="J153" s="32"/>
      <c r="K153" s="32"/>
      <c r="L153" s="32"/>
      <c r="M153" s="32"/>
      <c r="N153" s="32"/>
      <c r="P153" s="33"/>
    </row>
    <row r="154" spans="1:16" ht="15">
      <c r="A154" s="36">
        <v>2041</v>
      </c>
      <c r="B154" s="38">
        <v>484</v>
      </c>
      <c r="C154" s="38">
        <v>915</v>
      </c>
      <c r="D154" s="38" t="s">
        <v>397</v>
      </c>
      <c r="E154" s="38">
        <v>141</v>
      </c>
      <c r="F154" s="38" t="s">
        <v>458</v>
      </c>
      <c r="G154" s="38">
        <v>239</v>
      </c>
      <c r="H154" s="32"/>
      <c r="I154" s="32"/>
      <c r="J154" s="32"/>
      <c r="K154" s="32"/>
      <c r="L154" s="32"/>
      <c r="M154" s="32"/>
      <c r="N154" s="32"/>
      <c r="P154" s="33"/>
    </row>
    <row r="155" spans="1:16" ht="15">
      <c r="A155" s="36">
        <v>2042</v>
      </c>
      <c r="B155" s="38">
        <v>484</v>
      </c>
      <c r="C155" s="38" t="s">
        <v>459</v>
      </c>
      <c r="D155" s="38" t="s">
        <v>401</v>
      </c>
      <c r="E155" s="38">
        <v>297</v>
      </c>
      <c r="F155" s="38">
        <v>996</v>
      </c>
      <c r="G155" s="38">
        <v>220</v>
      </c>
      <c r="H155" s="32"/>
      <c r="I155" s="32"/>
      <c r="J155" s="32"/>
      <c r="K155" s="32"/>
      <c r="L155" s="32"/>
      <c r="M155" s="32"/>
      <c r="N155" s="32"/>
      <c r="P155" s="33"/>
    </row>
    <row r="156" spans="1:16" ht="15">
      <c r="A156" s="36">
        <v>2043</v>
      </c>
      <c r="B156" s="38">
        <v>484</v>
      </c>
      <c r="C156" s="38" t="s">
        <v>459</v>
      </c>
      <c r="D156" s="38" t="s">
        <v>401</v>
      </c>
      <c r="E156" s="38">
        <v>342</v>
      </c>
      <c r="F156" s="38">
        <v>967</v>
      </c>
      <c r="G156" s="38">
        <v>205</v>
      </c>
      <c r="H156" s="32"/>
      <c r="I156" s="32"/>
      <c r="J156" s="32"/>
      <c r="K156" s="32"/>
      <c r="L156" s="32"/>
      <c r="M156" s="32"/>
      <c r="N156" s="32"/>
      <c r="P156" s="33"/>
    </row>
    <row r="157" spans="1:16" ht="15">
      <c r="A157" s="36">
        <v>2044</v>
      </c>
      <c r="B157" s="38">
        <v>484</v>
      </c>
      <c r="C157" s="38" t="s">
        <v>459</v>
      </c>
      <c r="D157" s="38" t="s">
        <v>401</v>
      </c>
      <c r="E157" s="38">
        <v>73</v>
      </c>
      <c r="F157" s="38" t="s">
        <v>460</v>
      </c>
      <c r="G157" s="38">
        <v>264</v>
      </c>
      <c r="H157" s="32"/>
      <c r="I157" s="32"/>
      <c r="J157" s="32"/>
      <c r="K157" s="32"/>
      <c r="L157" s="32"/>
      <c r="M157" s="32"/>
      <c r="N157" s="32"/>
      <c r="P157" s="33"/>
    </row>
    <row r="158" spans="1:16" ht="15">
      <c r="A158" s="36">
        <v>2045</v>
      </c>
      <c r="B158" s="38">
        <v>484</v>
      </c>
      <c r="C158" s="38" t="s">
        <v>459</v>
      </c>
      <c r="D158" s="38" t="s">
        <v>401</v>
      </c>
      <c r="E158" s="38">
        <v>263</v>
      </c>
      <c r="F158" s="38" t="s">
        <v>461</v>
      </c>
      <c r="G158" s="38">
        <v>213</v>
      </c>
      <c r="H158" s="32"/>
      <c r="I158" s="32"/>
      <c r="J158" s="32"/>
      <c r="K158" s="32"/>
      <c r="L158" s="32"/>
      <c r="M158" s="32"/>
      <c r="N158" s="32"/>
      <c r="P158" s="33"/>
    </row>
    <row r="159" spans="1:16" ht="15">
      <c r="A159" s="36">
        <v>2046</v>
      </c>
      <c r="B159" s="38">
        <v>484</v>
      </c>
      <c r="C159" s="38" t="s">
        <v>459</v>
      </c>
      <c r="D159" s="38" t="s">
        <v>401</v>
      </c>
      <c r="E159" s="38">
        <v>122</v>
      </c>
      <c r="F159" s="38" t="s">
        <v>462</v>
      </c>
      <c r="G159" s="38">
        <v>247</v>
      </c>
      <c r="H159" s="32"/>
      <c r="I159" s="32"/>
      <c r="J159" s="32"/>
      <c r="K159" s="32"/>
      <c r="L159" s="32"/>
      <c r="M159" s="32"/>
      <c r="N159" s="32"/>
      <c r="P159" s="33"/>
    </row>
    <row r="160" spans="1:16" ht="15">
      <c r="A160" s="36">
        <v>2047</v>
      </c>
      <c r="B160" s="38">
        <v>484</v>
      </c>
      <c r="C160" s="38" t="s">
        <v>459</v>
      </c>
      <c r="D160" s="38" t="s">
        <v>401</v>
      </c>
      <c r="E160" s="38">
        <v>178</v>
      </c>
      <c r="F160" s="38" t="s">
        <v>463</v>
      </c>
      <c r="G160" s="38">
        <v>245</v>
      </c>
      <c r="H160" s="32"/>
      <c r="I160" s="32"/>
      <c r="J160" s="32"/>
      <c r="K160" s="32"/>
      <c r="L160" s="32"/>
      <c r="M160" s="32"/>
      <c r="N160" s="32"/>
      <c r="P160" s="33"/>
    </row>
    <row r="161" spans="1:16" ht="15">
      <c r="A161" s="36">
        <v>2048</v>
      </c>
      <c r="B161" s="38">
        <v>484</v>
      </c>
      <c r="C161" s="38" t="s">
        <v>459</v>
      </c>
      <c r="D161" s="38" t="s">
        <v>401</v>
      </c>
      <c r="E161" s="38">
        <v>105</v>
      </c>
      <c r="F161" s="38" t="s">
        <v>464</v>
      </c>
      <c r="G161" s="38">
        <v>262</v>
      </c>
      <c r="H161" s="32"/>
      <c r="I161" s="32"/>
      <c r="J161" s="32"/>
      <c r="K161" s="32"/>
      <c r="L161" s="32"/>
      <c r="M161" s="32"/>
      <c r="N161" s="32"/>
      <c r="P161" s="33"/>
    </row>
    <row r="162" spans="1:16" ht="15">
      <c r="A162" s="36">
        <v>2049</v>
      </c>
      <c r="B162" s="38">
        <v>484</v>
      </c>
      <c r="C162" s="38" t="s">
        <v>459</v>
      </c>
      <c r="D162" s="38" t="s">
        <v>401</v>
      </c>
      <c r="E162" s="38">
        <v>184</v>
      </c>
      <c r="F162" s="38" t="s">
        <v>465</v>
      </c>
      <c r="G162" s="38">
        <v>244</v>
      </c>
      <c r="H162" s="32"/>
      <c r="I162" s="32"/>
      <c r="J162" s="32"/>
      <c r="K162" s="32"/>
      <c r="L162" s="32"/>
      <c r="M162" s="32"/>
      <c r="N162" s="32"/>
      <c r="P162" s="33"/>
    </row>
    <row r="163" spans="1:16" ht="15">
      <c r="A163" s="36">
        <v>2050</v>
      </c>
      <c r="B163" s="38">
        <v>484</v>
      </c>
      <c r="C163" s="38" t="s">
        <v>459</v>
      </c>
      <c r="D163" s="38" t="s">
        <v>401</v>
      </c>
      <c r="E163" s="38">
        <v>93</v>
      </c>
      <c r="F163" s="38" t="s">
        <v>466</v>
      </c>
      <c r="G163" s="38">
        <v>265</v>
      </c>
      <c r="H163" s="32"/>
      <c r="I163" s="32"/>
      <c r="J163" s="32"/>
      <c r="K163" s="32"/>
      <c r="L163" s="32"/>
      <c r="M163" s="32"/>
      <c r="N163" s="32"/>
      <c r="P163" s="33"/>
    </row>
    <row r="164" spans="1:16" ht="15">
      <c r="A164" s="36">
        <v>2051</v>
      </c>
      <c r="B164" s="38">
        <v>484</v>
      </c>
      <c r="C164" s="38" t="s">
        <v>459</v>
      </c>
      <c r="D164" s="38" t="s">
        <v>401</v>
      </c>
      <c r="E164" s="38">
        <v>134</v>
      </c>
      <c r="F164" s="38" t="s">
        <v>467</v>
      </c>
      <c r="G164" s="38">
        <v>256</v>
      </c>
      <c r="H164" s="32"/>
      <c r="I164" s="32"/>
      <c r="J164" s="32"/>
      <c r="K164" s="32"/>
      <c r="L164" s="32"/>
      <c r="M164" s="32"/>
      <c r="N164" s="32"/>
      <c r="P164" s="33"/>
    </row>
    <row r="165" spans="1:16" ht="15">
      <c r="A165" s="36">
        <v>2052</v>
      </c>
      <c r="B165" s="38">
        <v>484</v>
      </c>
      <c r="C165" s="38" t="s">
        <v>459</v>
      </c>
      <c r="D165" s="38" t="s">
        <v>401</v>
      </c>
      <c r="E165" s="38">
        <v>140</v>
      </c>
      <c r="F165" s="38" t="s">
        <v>468</v>
      </c>
      <c r="G165" s="38">
        <v>255</v>
      </c>
      <c r="H165" s="32"/>
      <c r="I165" s="32"/>
      <c r="J165" s="32"/>
      <c r="K165" s="32"/>
      <c r="L165" s="32"/>
      <c r="M165" s="32"/>
      <c r="N165" s="32"/>
      <c r="P165" s="33"/>
    </row>
    <row r="166" spans="1:16" ht="15">
      <c r="A166" s="36">
        <v>2053</v>
      </c>
      <c r="B166" s="38">
        <v>484</v>
      </c>
      <c r="C166" s="38" t="s">
        <v>459</v>
      </c>
      <c r="D166" s="38" t="s">
        <v>401</v>
      </c>
      <c r="E166" s="38">
        <v>155</v>
      </c>
      <c r="F166" s="38" t="s">
        <v>469</v>
      </c>
      <c r="G166" s="38">
        <v>249</v>
      </c>
      <c r="H166" s="32"/>
      <c r="I166" s="32"/>
      <c r="J166" s="32"/>
      <c r="K166" s="32"/>
      <c r="L166" s="32"/>
      <c r="M166" s="32"/>
      <c r="N166" s="32"/>
      <c r="P166" s="33"/>
    </row>
    <row r="167" spans="1:16" ht="15">
      <c r="A167" s="36">
        <v>2054</v>
      </c>
      <c r="B167" s="38">
        <v>484</v>
      </c>
      <c r="C167" s="38" t="s">
        <v>459</v>
      </c>
      <c r="D167" s="38" t="s">
        <v>401</v>
      </c>
      <c r="E167" s="38">
        <v>159</v>
      </c>
      <c r="F167" s="38" t="s">
        <v>470</v>
      </c>
      <c r="G167" s="38">
        <v>249</v>
      </c>
      <c r="H167" s="32"/>
      <c r="I167" s="32"/>
      <c r="J167" s="32"/>
      <c r="K167" s="32"/>
      <c r="L167" s="32"/>
      <c r="M167" s="32"/>
      <c r="N167" s="32"/>
      <c r="P167" s="33"/>
    </row>
    <row r="168" spans="1:16" ht="15">
      <c r="A168" s="36">
        <v>2055</v>
      </c>
      <c r="B168" s="38">
        <v>537</v>
      </c>
      <c r="C168" s="38">
        <v>977</v>
      </c>
      <c r="D168" s="38" t="s">
        <v>401</v>
      </c>
      <c r="E168" s="38">
        <v>184</v>
      </c>
      <c r="F168" s="38" t="s">
        <v>471</v>
      </c>
      <c r="G168" s="38">
        <v>240</v>
      </c>
      <c r="H168" s="32"/>
      <c r="I168" s="32"/>
      <c r="J168" s="32"/>
      <c r="K168" s="32"/>
      <c r="L168" s="32"/>
      <c r="M168" s="32"/>
      <c r="N168" s="32"/>
      <c r="P168" s="33"/>
    </row>
    <row r="169" spans="1:16" ht="15">
      <c r="A169" s="36">
        <v>2056</v>
      </c>
      <c r="B169" s="38">
        <v>537</v>
      </c>
      <c r="C169" s="38">
        <v>977</v>
      </c>
      <c r="D169" s="38" t="s">
        <v>401</v>
      </c>
      <c r="E169" s="38">
        <v>99</v>
      </c>
      <c r="F169" s="38" t="s">
        <v>448</v>
      </c>
      <c r="G169" s="38">
        <v>258</v>
      </c>
      <c r="H169" s="32"/>
      <c r="I169" s="32"/>
      <c r="J169" s="32"/>
      <c r="K169" s="32"/>
      <c r="L169" s="32"/>
      <c r="M169" s="32"/>
      <c r="N169" s="32"/>
      <c r="P169" s="33"/>
    </row>
    <row r="170" spans="1:16" ht="15">
      <c r="A170" s="36">
        <v>2057</v>
      </c>
      <c r="B170" s="38">
        <v>537</v>
      </c>
      <c r="C170" s="38">
        <v>977</v>
      </c>
      <c r="D170" s="38" t="s">
        <v>401</v>
      </c>
      <c r="E170" s="38">
        <v>170</v>
      </c>
      <c r="F170" s="38" t="s">
        <v>472</v>
      </c>
      <c r="G170" s="38">
        <v>241</v>
      </c>
      <c r="H170" s="32"/>
      <c r="I170" s="32"/>
      <c r="J170" s="32"/>
      <c r="K170" s="32"/>
      <c r="L170" s="32"/>
      <c r="M170" s="32"/>
      <c r="N170" s="32"/>
      <c r="P170" s="33"/>
    </row>
    <row r="171" spans="1:16" ht="15">
      <c r="A171" s="36">
        <v>2058</v>
      </c>
      <c r="B171" s="38">
        <v>537</v>
      </c>
      <c r="C171" s="38">
        <v>977</v>
      </c>
      <c r="D171" s="38" t="s">
        <v>401</v>
      </c>
      <c r="E171" s="38">
        <v>102</v>
      </c>
      <c r="F171" s="38" t="s">
        <v>466</v>
      </c>
      <c r="G171" s="38">
        <v>255</v>
      </c>
      <c r="H171" s="32"/>
      <c r="I171" s="32"/>
      <c r="J171" s="32"/>
      <c r="K171" s="32"/>
      <c r="L171" s="32"/>
      <c r="M171" s="32"/>
      <c r="N171" s="32"/>
      <c r="P171" s="33"/>
    </row>
    <row r="172" spans="1:16" ht="15">
      <c r="A172" s="36">
        <v>2059</v>
      </c>
      <c r="B172" s="38">
        <v>537</v>
      </c>
      <c r="C172" s="38">
        <v>977</v>
      </c>
      <c r="D172" s="38" t="s">
        <v>401</v>
      </c>
      <c r="E172" s="38">
        <v>87</v>
      </c>
      <c r="F172" s="38" t="s">
        <v>473</v>
      </c>
      <c r="G172" s="38">
        <v>259</v>
      </c>
      <c r="H172" s="32"/>
      <c r="I172" s="32"/>
      <c r="J172" s="32"/>
      <c r="K172" s="32"/>
      <c r="L172" s="32"/>
      <c r="M172" s="32"/>
      <c r="N172" s="32"/>
      <c r="P172" s="33"/>
    </row>
    <row r="173" spans="1:16" ht="15">
      <c r="A173" s="36">
        <v>2060</v>
      </c>
      <c r="B173" s="38">
        <v>537</v>
      </c>
      <c r="C173" s="38">
        <v>977</v>
      </c>
      <c r="D173" s="38" t="s">
        <v>401</v>
      </c>
      <c r="E173" s="38">
        <v>123</v>
      </c>
      <c r="F173" s="38" t="s">
        <v>447</v>
      </c>
      <c r="G173" s="38">
        <v>247</v>
      </c>
      <c r="H173" s="32"/>
      <c r="I173" s="32"/>
      <c r="J173" s="32"/>
      <c r="K173" s="32"/>
      <c r="L173" s="32"/>
      <c r="M173" s="32"/>
      <c r="N173" s="32"/>
      <c r="P173" s="33"/>
    </row>
    <row r="174" spans="1:16" ht="15">
      <c r="A174" s="36"/>
      <c r="B174" s="32"/>
      <c r="C174" s="32"/>
      <c r="D174" s="32"/>
      <c r="E174" s="32"/>
      <c r="F174" s="32"/>
      <c r="G174" s="32"/>
      <c r="H174" s="32"/>
      <c r="I174" s="32"/>
      <c r="J174" s="32"/>
      <c r="K174" s="32"/>
      <c r="L174" s="32"/>
      <c r="M174" s="32"/>
      <c r="N174" s="32"/>
      <c r="P174" s="33"/>
    </row>
    <row r="175" spans="1:16" ht="15">
      <c r="A175" s="36" t="s">
        <v>422</v>
      </c>
      <c r="B175" s="35" t="s">
        <v>423</v>
      </c>
      <c r="C175" s="32"/>
      <c r="D175" s="32"/>
      <c r="E175" s="32"/>
      <c r="F175" s="32"/>
      <c r="G175" s="32"/>
      <c r="H175" s="32"/>
      <c r="I175" s="32"/>
      <c r="J175" s="32"/>
      <c r="K175" s="32"/>
      <c r="L175" s="32"/>
      <c r="M175" s="32"/>
      <c r="N175" s="32"/>
      <c r="P175" s="33"/>
    </row>
    <row r="176" spans="1:16" ht="15.75" thickBot="1">
      <c r="A176" s="45"/>
      <c r="B176" s="46"/>
      <c r="C176" s="47"/>
      <c r="D176" s="47"/>
      <c r="E176" s="47"/>
      <c r="F176" s="47"/>
      <c r="G176" s="47"/>
      <c r="H176" s="47"/>
      <c r="I176" s="47"/>
      <c r="J176" s="47"/>
      <c r="K176" s="47"/>
      <c r="L176" s="47"/>
      <c r="M176" s="47"/>
      <c r="N176" s="47"/>
      <c r="O176" s="48"/>
      <c r="P176" s="49"/>
    </row>
  </sheetData>
  <sheetProtection algorithmName="SHA-512" hashValue="YMRlZIvWDx+jdtW+Ukv7qGUaAkFGfFQwghjFeMN6aJz/gNLkNZ0X5dliFxbHKthtukCb3d4mc/1i09aDusWLTQ==" saltValue="7rGn+rhcTb/LlH0Tg8JAWQ==" spinCount="100000" sheet="1" objects="1" scenarios="1"/>
  <mergeCells count="14">
    <mergeCell ref="M127:M128"/>
    <mergeCell ref="N127:N128"/>
    <mergeCell ref="G127:G128"/>
    <mergeCell ref="H127:H128"/>
    <mergeCell ref="I127:I128"/>
    <mergeCell ref="J127:J128"/>
    <mergeCell ref="K127:K128"/>
    <mergeCell ref="L127:L128"/>
    <mergeCell ref="F127:F128"/>
    <mergeCell ref="A127:A128"/>
    <mergeCell ref="B127:B128"/>
    <mergeCell ref="C127:C128"/>
    <mergeCell ref="D127:D128"/>
    <mergeCell ref="E127:E128"/>
  </mergeCells>
  <hyperlinks>
    <hyperlink ref="B4" r:id="rId1" display="https://www.mpi.govt.nz/forestry/forest-industry-and-workforce/forestry-wood-processing-data/new-zealand-forest-data" xr:uid="{62F82BDB-4E73-4A0B-B41C-03E90C15DCA5}"/>
    <hyperlink ref="B5" r:id="rId2" display="https://view.officeapps.live.com/op/view.aspx?src=https%3A%2F%2Fwww.mpi.govt.nz%2Fdmsdocument%2F27118-Wood-Availability-Forecast-New-Zealand-2021-to-2060-national-and-regional-summary-tables&amp;wdOrigin=BROWSELINK" xr:uid="{E763039B-0700-4CDB-A4A3-546269947F4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C7C9-5503-465F-B20A-88B9CCD10D36}">
  <sheetPr>
    <tabColor theme="3"/>
  </sheetPr>
  <dimension ref="A2:L86"/>
  <sheetViews>
    <sheetView topLeftCell="A66" workbookViewId="0">
      <selection activeCell="A85" sqref="A85:XFD86"/>
    </sheetView>
  </sheetViews>
  <sheetFormatPr defaultColWidth="9.140625" defaultRowHeight="12.75"/>
  <cols>
    <col min="1" max="1" width="33" style="22" customWidth="1"/>
    <col min="2" max="2" width="22.85546875" style="22" customWidth="1"/>
    <col min="3" max="3" width="18.140625" style="22" customWidth="1"/>
    <col min="4" max="7" width="9.140625" style="22"/>
    <col min="8" max="8" width="17.7109375" style="22" customWidth="1"/>
    <col min="9" max="9" width="20.7109375" style="22" customWidth="1"/>
    <col min="10" max="10" width="15.85546875" style="22" customWidth="1"/>
    <col min="11" max="11" width="18.5703125" style="22" customWidth="1"/>
    <col min="12" max="12" width="9.140625" style="22"/>
    <col min="13" max="13" width="18.85546875" style="22" customWidth="1"/>
    <col min="14" max="16384" width="9.140625" style="22"/>
  </cols>
  <sheetData>
    <row r="2" spans="1:12">
      <c r="A2" s="23" t="s">
        <v>474</v>
      </c>
      <c r="B2" s="23"/>
      <c r="C2" s="23"/>
      <c r="D2" s="23"/>
      <c r="E2" s="23"/>
      <c r="F2" s="23"/>
      <c r="G2" s="23"/>
      <c r="H2" s="23"/>
      <c r="I2" s="23"/>
      <c r="J2" s="23"/>
      <c r="K2" s="23"/>
      <c r="L2" s="23"/>
    </row>
    <row r="4" spans="1:12">
      <c r="A4" s="24" t="s">
        <v>345</v>
      </c>
      <c r="B4" s="25" t="s">
        <v>475</v>
      </c>
    </row>
    <row r="5" spans="1:12">
      <c r="A5" s="24" t="s">
        <v>347</v>
      </c>
      <c r="B5" s="24" t="s">
        <v>474</v>
      </c>
    </row>
    <row r="6" spans="1:12">
      <c r="A6" s="24" t="s">
        <v>476</v>
      </c>
      <c r="B6" s="24" t="s">
        <v>477</v>
      </c>
    </row>
    <row r="7" spans="1:12">
      <c r="A7" s="24" t="s">
        <v>478</v>
      </c>
      <c r="B7" s="22" t="s">
        <v>479</v>
      </c>
    </row>
    <row r="83" spans="1:9" ht="15">
      <c r="B83" s="91" t="s">
        <v>236</v>
      </c>
      <c r="C83" s="91" t="s">
        <v>237</v>
      </c>
      <c r="D83" s="91" t="s">
        <v>238</v>
      </c>
      <c r="E83" s="91" t="s">
        <v>239</v>
      </c>
      <c r="F83" s="91" t="s">
        <v>240</v>
      </c>
      <c r="G83" s="91" t="s">
        <v>241</v>
      </c>
      <c r="H83" s="91" t="s">
        <v>242</v>
      </c>
      <c r="I83" s="91" t="s">
        <v>243</v>
      </c>
    </row>
    <row r="84" spans="1:9" ht="15">
      <c r="A84" s="211" t="s">
        <v>58</v>
      </c>
      <c r="B84" s="210">
        <v>149</v>
      </c>
      <c r="C84" s="210">
        <v>1523</v>
      </c>
      <c r="D84" s="210">
        <v>2466</v>
      </c>
      <c r="E84" s="210">
        <v>1074</v>
      </c>
      <c r="F84" s="210">
        <v>331</v>
      </c>
      <c r="G84" s="210">
        <v>419</v>
      </c>
      <c r="H84" s="210">
        <v>72</v>
      </c>
      <c r="I84" s="210">
        <v>7</v>
      </c>
    </row>
    <row r="85" spans="1:9" ht="15" hidden="1">
      <c r="A85" s="211" t="s">
        <v>59</v>
      </c>
      <c r="B85" s="210">
        <v>0</v>
      </c>
      <c r="C85" s="210">
        <v>1278</v>
      </c>
      <c r="D85" s="210">
        <v>3486</v>
      </c>
      <c r="E85" s="210">
        <v>963</v>
      </c>
      <c r="F85" s="210">
        <v>125</v>
      </c>
      <c r="G85" s="210">
        <v>264</v>
      </c>
      <c r="H85" s="210">
        <v>0</v>
      </c>
      <c r="I85" s="210">
        <v>3</v>
      </c>
    </row>
    <row r="86" spans="1:9" ht="15" hidden="1">
      <c r="A86" s="211" t="s">
        <v>60</v>
      </c>
      <c r="B86" s="210">
        <v>2398</v>
      </c>
      <c r="C86" s="210">
        <v>4782</v>
      </c>
      <c r="D86" s="210">
        <v>7973</v>
      </c>
      <c r="E86" s="210">
        <v>6029</v>
      </c>
      <c r="F86" s="210">
        <v>1132</v>
      </c>
      <c r="G86" s="210">
        <v>884</v>
      </c>
      <c r="H86" s="210">
        <v>287</v>
      </c>
      <c r="I86" s="210">
        <v>128</v>
      </c>
    </row>
  </sheetData>
  <sheetProtection algorithmName="SHA-512" hashValue="aj0R09ZvK268m396Z7NTUGWLUNzz1XmQFdhbFv+JFiLTOXReoKJAQ0Icg2h3nOPWOh2ZTtKj5x5zlHZzQXziYg==" saltValue="PucfmvsU5gaVbvNfgcEDMg=="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96089-EB82-48E6-8A3A-CFE376C128CE}">
  <sheetPr>
    <tabColor theme="3"/>
  </sheetPr>
  <dimension ref="A2:L7"/>
  <sheetViews>
    <sheetView topLeftCell="A23" workbookViewId="0">
      <selection activeCell="B40" sqref="B40"/>
    </sheetView>
  </sheetViews>
  <sheetFormatPr defaultColWidth="9.140625" defaultRowHeight="12.75"/>
  <cols>
    <col min="1" max="1" width="33" style="22" customWidth="1"/>
    <col min="2" max="2" width="22.85546875" style="22" customWidth="1"/>
    <col min="3" max="3" width="18.140625" style="22" customWidth="1"/>
    <col min="4" max="7" width="9.140625" style="22"/>
    <col min="8" max="8" width="17.7109375" style="22" customWidth="1"/>
    <col min="9" max="9" width="20.7109375" style="22" customWidth="1"/>
    <col min="10" max="10" width="15.85546875" style="22" customWidth="1"/>
    <col min="11" max="11" width="18.5703125" style="22" customWidth="1"/>
    <col min="12" max="12" width="9.140625" style="22"/>
    <col min="13" max="13" width="18.85546875" style="22" customWidth="1"/>
    <col min="14" max="16384" width="9.140625" style="22"/>
  </cols>
  <sheetData>
    <row r="2" spans="1:12">
      <c r="A2" s="23" t="s">
        <v>249</v>
      </c>
      <c r="B2" s="23"/>
      <c r="C2" s="23"/>
      <c r="D2" s="23"/>
      <c r="E2" s="23"/>
      <c r="F2" s="23"/>
      <c r="G2" s="23"/>
      <c r="H2" s="23"/>
      <c r="I2" s="23"/>
      <c r="J2" s="23"/>
      <c r="K2" s="23"/>
      <c r="L2" s="23"/>
    </row>
    <row r="4" spans="1:12">
      <c r="A4" s="24" t="s">
        <v>345</v>
      </c>
      <c r="B4" s="25" t="s">
        <v>480</v>
      </c>
    </row>
    <row r="5" spans="1:12">
      <c r="A5" s="24" t="s">
        <v>347</v>
      </c>
      <c r="B5" s="24" t="s">
        <v>249</v>
      </c>
    </row>
    <row r="6" spans="1:12">
      <c r="A6" s="24" t="s">
        <v>476</v>
      </c>
      <c r="B6" s="24" t="s">
        <v>481</v>
      </c>
    </row>
    <row r="7" spans="1:12">
      <c r="A7" s="24" t="s">
        <v>478</v>
      </c>
      <c r="B7" s="24" t="s">
        <v>482</v>
      </c>
    </row>
  </sheetData>
  <sheetProtection algorithmName="SHA-512" hashValue="gYxDAkSIgAnuIFszY5qSrgmFFsYWmPfaml25MTNtGW7SdkkRcN86GlShMIDzbzyehPWhUEwvBqtMH2yK1S5TWw==" saltValue="orF36asaTSPX13VA9rr2mg==" spinCount="100000"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93E0-3BA0-465C-8F08-CA71150B9C57}">
  <sheetPr>
    <tabColor theme="3"/>
  </sheetPr>
  <dimension ref="A2:N50"/>
  <sheetViews>
    <sheetView workbookViewId="0"/>
  </sheetViews>
  <sheetFormatPr defaultColWidth="9.140625" defaultRowHeight="12.75"/>
  <cols>
    <col min="1" max="1" width="33" style="22" customWidth="1"/>
    <col min="2" max="2" width="22.85546875" style="22" customWidth="1"/>
    <col min="3" max="3" width="18.140625" style="22" customWidth="1"/>
    <col min="4" max="7" width="9.140625" style="22"/>
    <col min="8" max="8" width="17.7109375" style="22" customWidth="1"/>
    <col min="9" max="9" width="20.7109375" style="22" customWidth="1"/>
    <col min="10" max="10" width="15.85546875" style="22" customWidth="1"/>
    <col min="11" max="11" width="18.5703125" style="22" customWidth="1"/>
    <col min="12" max="12" width="9.140625" style="22"/>
    <col min="13" max="13" width="18.85546875" style="22" customWidth="1"/>
    <col min="14" max="16384" width="9.140625" style="22"/>
  </cols>
  <sheetData>
    <row r="2" spans="1:14">
      <c r="A2" s="23" t="s">
        <v>249</v>
      </c>
      <c r="B2" s="23"/>
      <c r="C2" s="23"/>
      <c r="D2" s="23"/>
      <c r="E2" s="23"/>
      <c r="F2" s="23"/>
      <c r="G2" s="23"/>
      <c r="H2" s="23"/>
      <c r="I2" s="23"/>
      <c r="J2" s="23"/>
      <c r="K2" s="23"/>
      <c r="L2" s="23"/>
    </row>
    <row r="4" spans="1:14">
      <c r="A4" s="24" t="s">
        <v>345</v>
      </c>
      <c r="B4" s="25" t="s">
        <v>483</v>
      </c>
    </row>
    <row r="5" spans="1:14">
      <c r="A5" s="24" t="s">
        <v>347</v>
      </c>
      <c r="B5" s="24" t="s">
        <v>484</v>
      </c>
    </row>
    <row r="6" spans="1:14">
      <c r="A6" s="24" t="s">
        <v>476</v>
      </c>
      <c r="B6" s="24" t="s">
        <v>485</v>
      </c>
    </row>
    <row r="7" spans="1:14">
      <c r="A7" s="24" t="s">
        <v>478</v>
      </c>
      <c r="B7" s="53">
        <v>45809</v>
      </c>
    </row>
    <row r="9" spans="1:14" ht="13.5" thickBot="1"/>
    <row r="10" spans="1:14">
      <c r="A10" s="253" t="s">
        <v>486</v>
      </c>
      <c r="B10" s="254"/>
      <c r="C10" s="59"/>
      <c r="D10" s="59"/>
      <c r="E10" s="60"/>
      <c r="F10" s="59"/>
      <c r="G10" s="59"/>
      <c r="H10" s="60"/>
      <c r="I10" s="59"/>
      <c r="J10" s="59"/>
      <c r="K10" s="60"/>
      <c r="L10" s="59"/>
      <c r="M10" s="60"/>
      <c r="N10" s="61"/>
    </row>
    <row r="11" spans="1:14" ht="17.25">
      <c r="A11" s="255" t="s">
        <v>487</v>
      </c>
      <c r="B11" s="256"/>
      <c r="C11" s="256"/>
      <c r="D11" s="256"/>
      <c r="E11" s="256"/>
      <c r="F11" s="256"/>
      <c r="G11" s="256"/>
      <c r="H11" s="256"/>
      <c r="I11" s="256"/>
      <c r="J11" s="256"/>
      <c r="K11" s="256"/>
      <c r="L11" s="256"/>
      <c r="M11" s="256"/>
      <c r="N11" s="257"/>
    </row>
    <row r="12" spans="1:14" ht="14.25">
      <c r="A12" s="258" t="s">
        <v>488</v>
      </c>
      <c r="B12" s="259"/>
      <c r="C12" s="259"/>
      <c r="D12" s="259"/>
      <c r="E12" s="259"/>
      <c r="F12" s="259"/>
      <c r="G12" s="259"/>
      <c r="H12" s="259"/>
      <c r="I12" s="259"/>
      <c r="J12" s="259"/>
      <c r="K12" s="259"/>
      <c r="L12" s="259"/>
      <c r="M12" s="259"/>
      <c r="N12" s="260"/>
    </row>
    <row r="13" spans="1:14">
      <c r="A13" s="261" t="s">
        <v>489</v>
      </c>
      <c r="B13" s="262"/>
      <c r="C13" s="262"/>
      <c r="D13" s="262"/>
      <c r="E13" s="262"/>
      <c r="F13" s="262"/>
      <c r="G13" s="262"/>
      <c r="H13" s="262"/>
      <c r="I13" s="262"/>
      <c r="J13" s="262"/>
      <c r="K13" s="262"/>
      <c r="L13" s="262"/>
      <c r="M13" s="262"/>
      <c r="N13" s="263"/>
    </row>
    <row r="14" spans="1:14">
      <c r="A14" s="264" t="s">
        <v>490</v>
      </c>
      <c r="B14" s="265"/>
      <c r="C14" s="251" t="s">
        <v>491</v>
      </c>
      <c r="D14" s="268"/>
      <c r="E14" s="268"/>
      <c r="F14" s="268"/>
      <c r="G14" s="268"/>
      <c r="H14" s="268"/>
      <c r="I14" s="268"/>
      <c r="J14" s="268"/>
      <c r="K14" s="268"/>
      <c r="L14" s="268"/>
      <c r="M14" s="268"/>
      <c r="N14" s="269"/>
    </row>
    <row r="15" spans="1:14">
      <c r="A15" s="266"/>
      <c r="B15" s="267"/>
      <c r="C15" s="270" t="s">
        <v>492</v>
      </c>
      <c r="D15" s="271"/>
      <c r="E15" s="272"/>
      <c r="F15" s="270" t="s">
        <v>493</v>
      </c>
      <c r="G15" s="271"/>
      <c r="H15" s="272"/>
      <c r="I15" s="270" t="s">
        <v>494</v>
      </c>
      <c r="J15" s="271"/>
      <c r="K15" s="272"/>
      <c r="L15" s="270" t="s">
        <v>495</v>
      </c>
      <c r="M15" s="271"/>
      <c r="N15" s="273"/>
    </row>
    <row r="16" spans="1:14">
      <c r="A16" s="266"/>
      <c r="B16" s="267"/>
      <c r="C16" s="54">
        <v>2024</v>
      </c>
      <c r="D16" s="54">
        <v>2025</v>
      </c>
      <c r="E16" s="247" t="s">
        <v>496</v>
      </c>
      <c r="F16" s="54">
        <v>2024</v>
      </c>
      <c r="G16" s="54">
        <v>2025</v>
      </c>
      <c r="H16" s="247" t="s">
        <v>496</v>
      </c>
      <c r="I16" s="54">
        <v>2024</v>
      </c>
      <c r="J16" s="54">
        <v>2025</v>
      </c>
      <c r="K16" s="247" t="s">
        <v>496</v>
      </c>
      <c r="L16" s="54">
        <v>2024</v>
      </c>
      <c r="M16" s="54">
        <v>2025</v>
      </c>
      <c r="N16" s="249" t="s">
        <v>496</v>
      </c>
    </row>
    <row r="17" spans="1:14">
      <c r="A17" s="266"/>
      <c r="B17" s="267"/>
      <c r="C17" s="251">
        <v>0</v>
      </c>
      <c r="D17" s="252"/>
      <c r="E17" s="248"/>
      <c r="F17" s="55">
        <v>0</v>
      </c>
      <c r="G17" s="56"/>
      <c r="H17" s="248"/>
      <c r="I17" s="55">
        <v>0</v>
      </c>
      <c r="J17" s="55"/>
      <c r="K17" s="248"/>
      <c r="L17" s="251">
        <v>0</v>
      </c>
      <c r="M17" s="252"/>
      <c r="N17" s="250"/>
    </row>
    <row r="18" spans="1:14">
      <c r="A18" s="62"/>
      <c r="B18" s="63"/>
      <c r="C18" s="63"/>
      <c r="D18" s="63"/>
      <c r="E18" s="64"/>
      <c r="F18" s="63"/>
      <c r="G18" s="63"/>
      <c r="H18" s="64"/>
      <c r="I18" s="63"/>
      <c r="J18" s="63"/>
      <c r="K18" s="64"/>
      <c r="L18" s="63"/>
      <c r="M18" s="64"/>
      <c r="N18" s="65"/>
    </row>
    <row r="19" spans="1:14">
      <c r="A19" s="243" t="s">
        <v>497</v>
      </c>
      <c r="B19" s="244"/>
      <c r="C19" s="67">
        <v>182</v>
      </c>
      <c r="D19" s="67">
        <v>174</v>
      </c>
      <c r="E19" s="67">
        <v>-4.2</v>
      </c>
      <c r="F19" s="67">
        <v>292</v>
      </c>
      <c r="G19" s="67">
        <v>275</v>
      </c>
      <c r="H19" s="67">
        <v>-5.8</v>
      </c>
      <c r="I19" s="67">
        <v>322</v>
      </c>
      <c r="J19" s="67">
        <v>320</v>
      </c>
      <c r="K19" s="67">
        <v>-0.7</v>
      </c>
      <c r="L19" s="67">
        <v>2</v>
      </c>
      <c r="M19" s="67">
        <v>3</v>
      </c>
      <c r="N19" s="68">
        <v>9.4</v>
      </c>
    </row>
    <row r="20" spans="1:14">
      <c r="A20" s="243" t="s">
        <v>498</v>
      </c>
      <c r="B20" s="244"/>
      <c r="C20" s="67" t="s">
        <v>499</v>
      </c>
      <c r="D20" s="67" t="s">
        <v>499</v>
      </c>
      <c r="E20" s="67" t="s">
        <v>499</v>
      </c>
      <c r="F20" s="67">
        <v>74</v>
      </c>
      <c r="G20" s="67" t="s">
        <v>499</v>
      </c>
      <c r="H20" s="67" t="s">
        <v>499</v>
      </c>
      <c r="I20" s="67">
        <v>102</v>
      </c>
      <c r="J20" s="67">
        <v>118</v>
      </c>
      <c r="K20" s="67">
        <v>16</v>
      </c>
      <c r="L20" s="67">
        <v>9</v>
      </c>
      <c r="M20" s="67">
        <v>7</v>
      </c>
      <c r="N20" s="68">
        <v>-19.399999999999999</v>
      </c>
    </row>
    <row r="21" spans="1:14">
      <c r="A21" s="243" t="s">
        <v>500</v>
      </c>
      <c r="B21" s="244"/>
      <c r="C21" s="69">
        <v>1231</v>
      </c>
      <c r="D21" s="69">
        <v>1313</v>
      </c>
      <c r="E21" s="67">
        <v>6.7</v>
      </c>
      <c r="F21" s="69">
        <v>1566</v>
      </c>
      <c r="G21" s="69">
        <v>1554</v>
      </c>
      <c r="H21" s="67">
        <v>-0.8</v>
      </c>
      <c r="I21" s="67">
        <v>517</v>
      </c>
      <c r="J21" s="67">
        <v>558</v>
      </c>
      <c r="K21" s="67">
        <v>8</v>
      </c>
      <c r="L21" s="67">
        <v>30</v>
      </c>
      <c r="M21" s="67">
        <v>42</v>
      </c>
      <c r="N21" s="68">
        <v>39.5</v>
      </c>
    </row>
    <row r="22" spans="1:14">
      <c r="A22" s="243" t="s">
        <v>501</v>
      </c>
      <c r="B22" s="244"/>
      <c r="C22" s="67">
        <v>232</v>
      </c>
      <c r="D22" s="67">
        <v>219</v>
      </c>
      <c r="E22" s="67">
        <v>-6</v>
      </c>
      <c r="F22" s="67">
        <v>298</v>
      </c>
      <c r="G22" s="67">
        <v>291</v>
      </c>
      <c r="H22" s="67">
        <v>-2.4</v>
      </c>
      <c r="I22" s="67">
        <v>102</v>
      </c>
      <c r="J22" s="67">
        <v>106</v>
      </c>
      <c r="K22" s="67">
        <v>3.8</v>
      </c>
      <c r="L22" s="67">
        <v>20</v>
      </c>
      <c r="M22" s="67">
        <v>14</v>
      </c>
      <c r="N22" s="68">
        <v>-29.8</v>
      </c>
    </row>
    <row r="23" spans="1:14">
      <c r="A23" s="243" t="s">
        <v>502</v>
      </c>
      <c r="B23" s="244"/>
      <c r="C23" s="69">
        <v>1233</v>
      </c>
      <c r="D23" s="69">
        <v>1175</v>
      </c>
      <c r="E23" s="67">
        <v>-4.7</v>
      </c>
      <c r="F23" s="67" t="s">
        <v>499</v>
      </c>
      <c r="G23" s="67">
        <v>4</v>
      </c>
      <c r="H23" s="67" t="s">
        <v>499</v>
      </c>
      <c r="I23" s="67">
        <v>217</v>
      </c>
      <c r="J23" s="67">
        <v>227</v>
      </c>
      <c r="K23" s="67">
        <v>4.8</v>
      </c>
      <c r="L23" s="67">
        <v>8</v>
      </c>
      <c r="M23" s="67">
        <v>14</v>
      </c>
      <c r="N23" s="68">
        <v>78.2</v>
      </c>
    </row>
    <row r="24" spans="1:14">
      <c r="A24" s="243" t="s">
        <v>503</v>
      </c>
      <c r="B24" s="244"/>
      <c r="C24" s="69">
        <v>2657</v>
      </c>
      <c r="D24" s="69">
        <v>2457</v>
      </c>
      <c r="E24" s="67">
        <v>-7.5</v>
      </c>
      <c r="F24" s="67" t="s">
        <v>499</v>
      </c>
      <c r="G24" s="67">
        <v>64</v>
      </c>
      <c r="H24" s="67" t="s">
        <v>499</v>
      </c>
      <c r="I24" s="67">
        <v>424</v>
      </c>
      <c r="J24" s="67">
        <v>454</v>
      </c>
      <c r="K24" s="67">
        <v>7.1</v>
      </c>
      <c r="L24" s="67">
        <v>59</v>
      </c>
      <c r="M24" s="67">
        <v>50</v>
      </c>
      <c r="N24" s="68">
        <v>-16.100000000000001</v>
      </c>
    </row>
    <row r="25" spans="1:14">
      <c r="A25" s="243" t="s">
        <v>504</v>
      </c>
      <c r="B25" s="244"/>
      <c r="C25" s="67">
        <v>435</v>
      </c>
      <c r="D25" s="67">
        <v>428</v>
      </c>
      <c r="E25" s="67">
        <v>-1.7</v>
      </c>
      <c r="F25" s="67">
        <v>504</v>
      </c>
      <c r="G25" s="67">
        <v>481</v>
      </c>
      <c r="H25" s="67">
        <v>-4.5999999999999996</v>
      </c>
      <c r="I25" s="67">
        <v>134</v>
      </c>
      <c r="J25" s="67">
        <v>118</v>
      </c>
      <c r="K25" s="67">
        <v>-11.9</v>
      </c>
      <c r="L25" s="67" t="s">
        <v>499</v>
      </c>
      <c r="M25" s="67">
        <v>2</v>
      </c>
      <c r="N25" s="68" t="s">
        <v>499</v>
      </c>
    </row>
    <row r="26" spans="1:14">
      <c r="A26" s="245" t="s">
        <v>505</v>
      </c>
      <c r="B26" s="246"/>
      <c r="C26" s="69">
        <v>4363</v>
      </c>
      <c r="D26" s="69">
        <v>4309</v>
      </c>
      <c r="E26" s="67">
        <v>-1.2</v>
      </c>
      <c r="F26" s="67">
        <v>410</v>
      </c>
      <c r="G26" s="67">
        <v>436</v>
      </c>
      <c r="H26" s="67">
        <v>6.3</v>
      </c>
      <c r="I26" s="67">
        <v>521</v>
      </c>
      <c r="J26" s="67">
        <v>577</v>
      </c>
      <c r="K26" s="67">
        <v>10.8</v>
      </c>
      <c r="L26" s="67">
        <v>45</v>
      </c>
      <c r="M26" s="67" t="s">
        <v>499</v>
      </c>
      <c r="N26" s="68" t="s">
        <v>499</v>
      </c>
    </row>
    <row r="27" spans="1:14">
      <c r="A27" s="243" t="s">
        <v>506</v>
      </c>
      <c r="B27" s="244"/>
      <c r="C27" s="69">
        <v>1091</v>
      </c>
      <c r="D27" s="69">
        <v>1165</v>
      </c>
      <c r="E27" s="67">
        <v>6.8</v>
      </c>
      <c r="F27" s="67">
        <v>83</v>
      </c>
      <c r="G27" s="67" t="s">
        <v>499</v>
      </c>
      <c r="H27" s="67" t="s">
        <v>499</v>
      </c>
      <c r="I27" s="67">
        <v>137</v>
      </c>
      <c r="J27" s="67">
        <v>144</v>
      </c>
      <c r="K27" s="67">
        <v>5.3</v>
      </c>
      <c r="L27" s="67">
        <v>6</v>
      </c>
      <c r="M27" s="67">
        <v>5</v>
      </c>
      <c r="N27" s="68">
        <v>-23.9</v>
      </c>
    </row>
    <row r="28" spans="1:14">
      <c r="A28" s="231" t="s">
        <v>507</v>
      </c>
      <c r="B28" s="232"/>
      <c r="C28" s="70">
        <v>11645</v>
      </c>
      <c r="D28" s="70">
        <v>11488</v>
      </c>
      <c r="E28" s="71">
        <v>-1.3</v>
      </c>
      <c r="F28" s="70">
        <v>3316</v>
      </c>
      <c r="G28" s="70">
        <v>3264</v>
      </c>
      <c r="H28" s="71">
        <v>-1.6</v>
      </c>
      <c r="I28" s="70">
        <v>2475</v>
      </c>
      <c r="J28" s="70">
        <v>2623</v>
      </c>
      <c r="K28" s="71">
        <v>6</v>
      </c>
      <c r="L28" s="71">
        <v>182</v>
      </c>
      <c r="M28" s="71">
        <v>190</v>
      </c>
      <c r="N28" s="72">
        <v>4.5</v>
      </c>
    </row>
    <row r="29" spans="1:14">
      <c r="A29" s="243" t="s">
        <v>508</v>
      </c>
      <c r="B29" s="244"/>
      <c r="C29" s="67">
        <v>188</v>
      </c>
      <c r="D29" s="67">
        <v>194</v>
      </c>
      <c r="E29" s="67">
        <v>3.1</v>
      </c>
      <c r="F29" s="67">
        <v>60</v>
      </c>
      <c r="G29" s="67">
        <v>68</v>
      </c>
      <c r="H29" s="67">
        <v>13.5</v>
      </c>
      <c r="I29" s="67">
        <v>32</v>
      </c>
      <c r="J29" s="67">
        <v>37</v>
      </c>
      <c r="K29" s="67">
        <v>15</v>
      </c>
      <c r="L29" s="67">
        <v>12</v>
      </c>
      <c r="M29" s="67">
        <v>12</v>
      </c>
      <c r="N29" s="68">
        <v>-1.6</v>
      </c>
    </row>
    <row r="30" spans="1:14">
      <c r="A30" s="243" t="s">
        <v>509</v>
      </c>
      <c r="B30" s="244"/>
      <c r="C30" s="67">
        <v>2</v>
      </c>
      <c r="D30" s="67" t="s">
        <v>499</v>
      </c>
      <c r="E30" s="67" t="s">
        <v>499</v>
      </c>
      <c r="F30" s="67">
        <v>2</v>
      </c>
      <c r="G30" s="67" t="s">
        <v>499</v>
      </c>
      <c r="H30" s="67" t="s">
        <v>499</v>
      </c>
      <c r="I30" s="67">
        <v>1</v>
      </c>
      <c r="J30" s="67" t="s">
        <v>499</v>
      </c>
      <c r="K30" s="67" t="s">
        <v>499</v>
      </c>
      <c r="L30" s="67" t="s">
        <v>510</v>
      </c>
      <c r="M30" s="67" t="s">
        <v>510</v>
      </c>
      <c r="N30" s="68" t="s">
        <v>510</v>
      </c>
    </row>
    <row r="31" spans="1:14">
      <c r="A31" s="243" t="s">
        <v>511</v>
      </c>
      <c r="B31" s="244"/>
      <c r="C31" s="67">
        <v>374</v>
      </c>
      <c r="D31" s="67">
        <v>374</v>
      </c>
      <c r="E31" s="67">
        <v>0</v>
      </c>
      <c r="F31" s="67">
        <v>16</v>
      </c>
      <c r="G31" s="67">
        <v>15</v>
      </c>
      <c r="H31" s="67">
        <v>-6.6</v>
      </c>
      <c r="I31" s="67">
        <v>45</v>
      </c>
      <c r="J31" s="67">
        <v>47</v>
      </c>
      <c r="K31" s="67">
        <v>4.7</v>
      </c>
      <c r="L31" s="67">
        <v>4</v>
      </c>
      <c r="M31" s="67">
        <v>1</v>
      </c>
      <c r="N31" s="68">
        <v>-67.5</v>
      </c>
    </row>
    <row r="32" spans="1:14">
      <c r="A32" s="243" t="s">
        <v>512</v>
      </c>
      <c r="B32" s="244"/>
      <c r="C32" s="67">
        <v>29</v>
      </c>
      <c r="D32" s="67">
        <v>53</v>
      </c>
      <c r="E32" s="67">
        <v>84.1</v>
      </c>
      <c r="F32" s="67">
        <v>162</v>
      </c>
      <c r="G32" s="67">
        <v>140</v>
      </c>
      <c r="H32" s="67">
        <v>-13.1</v>
      </c>
      <c r="I32" s="67">
        <v>28</v>
      </c>
      <c r="J32" s="67">
        <v>29</v>
      </c>
      <c r="K32" s="67">
        <v>5.2</v>
      </c>
      <c r="L32" s="67">
        <v>11</v>
      </c>
      <c r="M32" s="67" t="s">
        <v>499</v>
      </c>
      <c r="N32" s="68" t="s">
        <v>499</v>
      </c>
    </row>
    <row r="33" spans="1:14">
      <c r="A33" s="243" t="s">
        <v>513</v>
      </c>
      <c r="B33" s="244"/>
      <c r="C33" s="69">
        <v>4190</v>
      </c>
      <c r="D33" s="69">
        <v>4193</v>
      </c>
      <c r="E33" s="67">
        <v>0.1</v>
      </c>
      <c r="F33" s="69">
        <v>1256</v>
      </c>
      <c r="G33" s="69">
        <v>1337</v>
      </c>
      <c r="H33" s="67">
        <v>6.5</v>
      </c>
      <c r="I33" s="67">
        <v>569</v>
      </c>
      <c r="J33" s="67">
        <v>566</v>
      </c>
      <c r="K33" s="67">
        <v>-0.6</v>
      </c>
      <c r="L33" s="67">
        <v>236</v>
      </c>
      <c r="M33" s="67">
        <v>248</v>
      </c>
      <c r="N33" s="68">
        <v>5.0999999999999996</v>
      </c>
    </row>
    <row r="34" spans="1:14">
      <c r="A34" s="243" t="s">
        <v>514</v>
      </c>
      <c r="B34" s="244"/>
      <c r="C34" s="69">
        <v>4060</v>
      </c>
      <c r="D34" s="69">
        <v>3850</v>
      </c>
      <c r="E34" s="67">
        <v>-5.2</v>
      </c>
      <c r="F34" s="67">
        <v>308</v>
      </c>
      <c r="G34" s="67">
        <v>284</v>
      </c>
      <c r="H34" s="67">
        <v>-7.8</v>
      </c>
      <c r="I34" s="67">
        <v>333</v>
      </c>
      <c r="J34" s="67">
        <v>316</v>
      </c>
      <c r="K34" s="67">
        <v>-5.3</v>
      </c>
      <c r="L34" s="67">
        <v>114</v>
      </c>
      <c r="M34" s="67">
        <v>98</v>
      </c>
      <c r="N34" s="68">
        <v>-13.9</v>
      </c>
    </row>
    <row r="35" spans="1:14">
      <c r="A35" s="243" t="s">
        <v>515</v>
      </c>
      <c r="B35" s="244"/>
      <c r="C35" s="69">
        <v>3034</v>
      </c>
      <c r="D35" s="69">
        <v>3044</v>
      </c>
      <c r="E35" s="67">
        <v>0.3</v>
      </c>
      <c r="F35" s="67">
        <v>718</v>
      </c>
      <c r="G35" s="67">
        <v>637</v>
      </c>
      <c r="H35" s="67">
        <v>-11.2</v>
      </c>
      <c r="I35" s="67">
        <v>187</v>
      </c>
      <c r="J35" s="67">
        <v>207</v>
      </c>
      <c r="K35" s="67">
        <v>10.6</v>
      </c>
      <c r="L35" s="67">
        <v>149</v>
      </c>
      <c r="M35" s="67">
        <v>144</v>
      </c>
      <c r="N35" s="68">
        <v>-3.7</v>
      </c>
    </row>
    <row r="36" spans="1:14">
      <c r="A36" s="243" t="s">
        <v>516</v>
      </c>
      <c r="B36" s="244"/>
      <c r="C36" s="67">
        <v>61</v>
      </c>
      <c r="D36" s="67">
        <v>48</v>
      </c>
      <c r="E36" s="67">
        <v>-21.4</v>
      </c>
      <c r="F36" s="67" t="s">
        <v>510</v>
      </c>
      <c r="G36" s="67" t="s">
        <v>510</v>
      </c>
      <c r="H36" s="67" t="s">
        <v>510</v>
      </c>
      <c r="I36" s="67">
        <v>9</v>
      </c>
      <c r="J36" s="67">
        <v>7</v>
      </c>
      <c r="K36" s="67">
        <v>-24</v>
      </c>
      <c r="L36" s="67" t="s">
        <v>510</v>
      </c>
      <c r="M36" s="67" t="s">
        <v>510</v>
      </c>
      <c r="N36" s="68" t="s">
        <v>510</v>
      </c>
    </row>
    <row r="37" spans="1:14">
      <c r="A37" s="231" t="s">
        <v>517</v>
      </c>
      <c r="B37" s="232"/>
      <c r="C37" s="70">
        <v>11938</v>
      </c>
      <c r="D37" s="70">
        <v>11765</v>
      </c>
      <c r="E37" s="71">
        <v>-1.5</v>
      </c>
      <c r="F37" s="70">
        <v>2521</v>
      </c>
      <c r="G37" s="70">
        <v>2486</v>
      </c>
      <c r="H37" s="71">
        <v>-1.4</v>
      </c>
      <c r="I37" s="70">
        <v>1204</v>
      </c>
      <c r="J37" s="70">
        <v>1210</v>
      </c>
      <c r="K37" s="71">
        <v>0.5</v>
      </c>
      <c r="L37" s="71">
        <v>527</v>
      </c>
      <c r="M37" s="71">
        <v>522</v>
      </c>
      <c r="N37" s="72">
        <v>-0.9</v>
      </c>
    </row>
    <row r="38" spans="1:14">
      <c r="A38" s="233" t="s">
        <v>518</v>
      </c>
      <c r="B38" s="234"/>
      <c r="C38" s="57">
        <v>23583</v>
      </c>
      <c r="D38" s="57">
        <v>23252</v>
      </c>
      <c r="E38" s="58">
        <v>-1.4</v>
      </c>
      <c r="F38" s="57">
        <v>5837</v>
      </c>
      <c r="G38" s="57">
        <v>5750</v>
      </c>
      <c r="H38" s="58">
        <v>-1.5</v>
      </c>
      <c r="I38" s="57">
        <v>3679</v>
      </c>
      <c r="J38" s="57">
        <v>3833</v>
      </c>
      <c r="K38" s="58">
        <v>4.2</v>
      </c>
      <c r="L38" s="58">
        <v>709</v>
      </c>
      <c r="M38" s="58">
        <v>712</v>
      </c>
      <c r="N38" s="73">
        <v>0.5</v>
      </c>
    </row>
    <row r="39" spans="1:14">
      <c r="A39" s="235"/>
      <c r="B39" s="236"/>
      <c r="C39" s="66"/>
      <c r="D39" s="66"/>
      <c r="E39" s="67"/>
      <c r="F39" s="66"/>
      <c r="G39" s="66"/>
      <c r="H39" s="67"/>
      <c r="I39" s="66"/>
      <c r="J39" s="66"/>
      <c r="K39" s="67"/>
      <c r="L39" s="66"/>
      <c r="M39" s="67"/>
      <c r="N39" s="68"/>
    </row>
    <row r="40" spans="1:14">
      <c r="A40" s="74">
        <v>1</v>
      </c>
      <c r="B40" s="237" t="s">
        <v>519</v>
      </c>
      <c r="C40" s="237"/>
      <c r="D40" s="237"/>
      <c r="E40" s="237"/>
      <c r="F40" s="237"/>
      <c r="G40" s="237"/>
      <c r="H40" s="237"/>
      <c r="I40" s="237"/>
      <c r="J40" s="237"/>
      <c r="K40" s="237"/>
      <c r="L40" s="237"/>
      <c r="M40" s="237"/>
      <c r="N40" s="76"/>
    </row>
    <row r="41" spans="1:14">
      <c r="A41" s="77">
        <v>2</v>
      </c>
      <c r="B41" s="238" t="s">
        <v>520</v>
      </c>
      <c r="C41" s="238"/>
      <c r="D41" s="238"/>
      <c r="E41" s="238"/>
      <c r="F41" s="238"/>
      <c r="G41" s="238"/>
      <c r="H41" s="238"/>
      <c r="I41" s="238"/>
      <c r="J41" s="79"/>
      <c r="K41" s="79"/>
      <c r="L41" s="79"/>
      <c r="M41" s="79"/>
      <c r="N41" s="80"/>
    </row>
    <row r="42" spans="1:14">
      <c r="A42" s="77">
        <v>3</v>
      </c>
      <c r="B42" s="237" t="s">
        <v>521</v>
      </c>
      <c r="C42" s="237"/>
      <c r="D42" s="237"/>
      <c r="E42" s="237"/>
      <c r="F42" s="237"/>
      <c r="G42" s="237"/>
      <c r="H42" s="237"/>
      <c r="I42" s="78"/>
      <c r="J42" s="79"/>
      <c r="K42" s="79"/>
      <c r="L42" s="79"/>
      <c r="M42" s="79"/>
      <c r="N42" s="80"/>
    </row>
    <row r="43" spans="1:14">
      <c r="A43" s="81">
        <v>4</v>
      </c>
      <c r="B43" s="237" t="s">
        <v>522</v>
      </c>
      <c r="C43" s="237"/>
      <c r="D43" s="237"/>
      <c r="E43" s="237"/>
      <c r="F43" s="237"/>
      <c r="G43" s="237"/>
      <c r="H43" s="237"/>
      <c r="I43" s="237"/>
      <c r="J43" s="237"/>
      <c r="K43" s="237"/>
      <c r="L43" s="237"/>
      <c r="M43" s="237"/>
      <c r="N43" s="239"/>
    </row>
    <row r="44" spans="1:14">
      <c r="A44" s="240"/>
      <c r="B44" s="238"/>
      <c r="C44" s="75"/>
      <c r="D44" s="75"/>
      <c r="E44" s="75"/>
      <c r="F44" s="75"/>
      <c r="G44" s="75"/>
      <c r="H44" s="75"/>
      <c r="I44" s="75"/>
      <c r="J44" s="75"/>
      <c r="K44" s="75"/>
      <c r="L44" s="75"/>
      <c r="M44" s="75"/>
      <c r="N44" s="82"/>
    </row>
    <row r="45" spans="1:14">
      <c r="A45" s="241"/>
      <c r="B45" s="242"/>
      <c r="C45" s="78"/>
      <c r="D45" s="78"/>
      <c r="E45" s="78"/>
      <c r="F45" s="78"/>
      <c r="G45" s="78"/>
      <c r="H45" s="78"/>
      <c r="I45" s="78"/>
      <c r="J45" s="79"/>
      <c r="K45" s="79"/>
      <c r="L45" s="79"/>
      <c r="M45" s="79"/>
      <c r="N45" s="80"/>
    </row>
    <row r="46" spans="1:14">
      <c r="A46" s="231" t="s">
        <v>523</v>
      </c>
      <c r="B46" s="232"/>
      <c r="C46" s="66"/>
      <c r="D46" s="66"/>
      <c r="E46" s="67"/>
      <c r="F46" s="66"/>
      <c r="G46" s="66"/>
      <c r="H46" s="67"/>
      <c r="I46" s="66"/>
      <c r="J46" s="66"/>
      <c r="K46" s="67"/>
      <c r="L46" s="66"/>
      <c r="M46" s="67"/>
      <c r="N46" s="68"/>
    </row>
    <row r="47" spans="1:14">
      <c r="A47" s="83" t="s">
        <v>499</v>
      </c>
      <c r="B47" s="84" t="s">
        <v>524</v>
      </c>
      <c r="C47" s="84"/>
      <c r="D47" s="84"/>
      <c r="E47" s="84"/>
      <c r="F47" s="84"/>
      <c r="G47" s="84"/>
      <c r="H47" s="84"/>
      <c r="I47" s="84"/>
      <c r="J47" s="84"/>
      <c r="K47" s="84"/>
      <c r="L47" s="84"/>
      <c r="M47" s="84"/>
      <c r="N47" s="85"/>
    </row>
    <row r="48" spans="1:14">
      <c r="A48" s="83" t="s">
        <v>510</v>
      </c>
      <c r="B48" s="84" t="s">
        <v>525</v>
      </c>
      <c r="C48" s="66"/>
      <c r="D48" s="66"/>
      <c r="E48" s="67"/>
      <c r="F48" s="66"/>
      <c r="G48" s="66"/>
      <c r="H48" s="86"/>
      <c r="I48" s="86"/>
      <c r="J48" s="66"/>
      <c r="K48" s="66"/>
      <c r="L48" s="66"/>
      <c r="M48" s="66"/>
      <c r="N48" s="87"/>
    </row>
    <row r="49" spans="1:14">
      <c r="A49" s="243"/>
      <c r="B49" s="244"/>
      <c r="C49" s="66"/>
      <c r="D49" s="66"/>
      <c r="E49" s="67"/>
      <c r="F49" s="66"/>
      <c r="G49" s="66"/>
      <c r="H49" s="67"/>
      <c r="I49" s="66"/>
      <c r="J49" s="66"/>
      <c r="K49" s="67"/>
      <c r="L49" s="66"/>
      <c r="M49" s="67"/>
      <c r="N49" s="68"/>
    </row>
    <row r="50" spans="1:14" ht="13.5" thickBot="1">
      <c r="A50" s="229" t="s">
        <v>526</v>
      </c>
      <c r="B50" s="230"/>
      <c r="C50" s="88"/>
      <c r="D50" s="88"/>
      <c r="E50" s="89"/>
      <c r="F50" s="88"/>
      <c r="G50" s="88"/>
      <c r="H50" s="89"/>
      <c r="I50" s="88"/>
      <c r="J50" s="88"/>
      <c r="K50" s="89"/>
      <c r="L50" s="88"/>
      <c r="M50" s="89"/>
      <c r="N50" s="90"/>
    </row>
  </sheetData>
  <sheetProtection algorithmName="SHA-512" hashValue="7RYAzmtKdZNRIHqWRtOe3v2FxVW4ffcUurpdPOhrzXQ8c1271XCqZ7tP4WKRkINDxBEyExyf9NR2o7thKt3Zog==" saltValue="IbGYMwVGJqBW51f5/mNDfg==" spinCount="100000" sheet="1" objects="1" scenarios="1"/>
  <mergeCells count="46">
    <mergeCell ref="A10:B10"/>
    <mergeCell ref="A11:N11"/>
    <mergeCell ref="A12:N12"/>
    <mergeCell ref="A13:N13"/>
    <mergeCell ref="A14:B17"/>
    <mergeCell ref="C14:N14"/>
    <mergeCell ref="C15:E15"/>
    <mergeCell ref="F15:H15"/>
    <mergeCell ref="I15:K15"/>
    <mergeCell ref="L15:N15"/>
    <mergeCell ref="A24:B24"/>
    <mergeCell ref="E16:E17"/>
    <mergeCell ref="H16:H17"/>
    <mergeCell ref="K16:K17"/>
    <mergeCell ref="N16:N17"/>
    <mergeCell ref="C17:D17"/>
    <mergeCell ref="L17:M17"/>
    <mergeCell ref="A19:B19"/>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50:B50"/>
    <mergeCell ref="A37:B37"/>
    <mergeCell ref="A38:B38"/>
    <mergeCell ref="A39:B39"/>
    <mergeCell ref="B40:M40"/>
    <mergeCell ref="B41:I41"/>
    <mergeCell ref="B42:H42"/>
    <mergeCell ref="B43:N43"/>
    <mergeCell ref="A44:B44"/>
    <mergeCell ref="A45:B45"/>
    <mergeCell ref="A46:B46"/>
    <mergeCell ref="A49:B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B289A-3B72-47DF-9BD5-6BF35EA010A7}">
  <sheetPr>
    <tabColor theme="3"/>
  </sheetPr>
  <dimension ref="A2:U6"/>
  <sheetViews>
    <sheetView topLeftCell="L1" workbookViewId="0">
      <selection activeCell="C17" sqref="C17"/>
    </sheetView>
  </sheetViews>
  <sheetFormatPr defaultColWidth="9.140625" defaultRowHeight="12.75"/>
  <cols>
    <col min="1" max="1" width="28.85546875" style="22" bestFit="1" customWidth="1"/>
    <col min="2" max="2" width="9.140625" style="22"/>
    <col min="3" max="3" width="21.7109375" style="22" bestFit="1" customWidth="1"/>
    <col min="4" max="18" width="9.140625" style="22"/>
    <col min="19" max="19" width="12.5703125" style="22" customWidth="1"/>
    <col min="20" max="16384" width="9.140625" style="22"/>
  </cols>
  <sheetData>
    <row r="2" spans="1:21" ht="15.75">
      <c r="D2" s="98" t="s">
        <v>531</v>
      </c>
      <c r="E2" s="98" t="s">
        <v>532</v>
      </c>
      <c r="F2" s="98" t="s">
        <v>533</v>
      </c>
      <c r="G2" s="98" t="s">
        <v>534</v>
      </c>
      <c r="H2" s="98" t="s">
        <v>535</v>
      </c>
      <c r="I2" s="98" t="s">
        <v>536</v>
      </c>
      <c r="J2" s="98" t="s">
        <v>537</v>
      </c>
      <c r="K2" s="98" t="s">
        <v>538</v>
      </c>
      <c r="L2" s="98" t="s">
        <v>539</v>
      </c>
      <c r="M2" s="98" t="s">
        <v>540</v>
      </c>
      <c r="N2" s="98" t="s">
        <v>541</v>
      </c>
      <c r="O2" s="98" t="s">
        <v>542</v>
      </c>
      <c r="P2" s="98" t="s">
        <v>543</v>
      </c>
      <c r="Q2" s="98" t="s">
        <v>544</v>
      </c>
      <c r="R2" s="98" t="s">
        <v>545</v>
      </c>
      <c r="S2" s="217" t="s">
        <v>232</v>
      </c>
    </row>
    <row r="3" spans="1:21" ht="15.75">
      <c r="A3" s="97" t="s">
        <v>550</v>
      </c>
      <c r="B3" s="97" t="s">
        <v>148</v>
      </c>
      <c r="C3" s="97" t="s">
        <v>22</v>
      </c>
      <c r="D3" s="215">
        <v>7.3137436517167267E-2</v>
      </c>
      <c r="E3" s="215">
        <v>7.0723549703975611E-2</v>
      </c>
      <c r="F3" s="215">
        <v>7.1576226615054694E-2</v>
      </c>
      <c r="G3" s="215">
        <v>8.5379568434814562E-2</v>
      </c>
      <c r="H3" s="215">
        <v>7.7876822507298896E-2</v>
      </c>
      <c r="I3" s="215">
        <v>8.213135483885349E-2</v>
      </c>
      <c r="J3" s="215">
        <v>7.3206539469706983E-2</v>
      </c>
      <c r="K3" s="215">
        <v>8.3689741399593703E-2</v>
      </c>
      <c r="L3" s="215">
        <v>8.3641000397702919E-2</v>
      </c>
      <c r="M3" s="215">
        <v>8.4197041022192332E-2</v>
      </c>
      <c r="N3" s="215">
        <v>8.2926080023502435E-2</v>
      </c>
      <c r="O3" s="215">
        <v>0.12037468928214433</v>
      </c>
      <c r="P3" s="215">
        <v>0.1211229981416207</v>
      </c>
      <c r="Q3" s="215">
        <v>0.11790563268527435</v>
      </c>
      <c r="R3" s="218">
        <v>7.4351792816885046E-2</v>
      </c>
      <c r="S3" s="216">
        <v>8.6816031590385825E-2</v>
      </c>
      <c r="U3" s="217" t="s">
        <v>232</v>
      </c>
    </row>
    <row r="4" spans="1:21" ht="15.75">
      <c r="A4" s="97" t="s">
        <v>551</v>
      </c>
      <c r="B4" s="97" t="s">
        <v>148</v>
      </c>
      <c r="C4" s="97" t="s">
        <v>22</v>
      </c>
      <c r="D4" s="215">
        <v>0.92686256348283269</v>
      </c>
      <c r="E4" s="215">
        <v>0.92927645029602435</v>
      </c>
      <c r="F4" s="215">
        <v>0.92842377338494531</v>
      </c>
      <c r="G4" s="215">
        <v>0.91462043156518547</v>
      </c>
      <c r="H4" s="215">
        <v>0.92212317749270112</v>
      </c>
      <c r="I4" s="215">
        <v>0.91786864516114652</v>
      </c>
      <c r="J4" s="215">
        <v>0.92679346053029299</v>
      </c>
      <c r="K4" s="215">
        <v>0.91631025860040627</v>
      </c>
      <c r="L4" s="215">
        <v>0.91635899960229705</v>
      </c>
      <c r="M4" s="215">
        <v>0.91580295897780761</v>
      </c>
      <c r="N4" s="215">
        <v>0.91707391997649756</v>
      </c>
      <c r="O4" s="215">
        <v>0.87962531071785566</v>
      </c>
      <c r="P4" s="215">
        <v>0.87887700185837936</v>
      </c>
      <c r="Q4" s="215">
        <v>0.88209436731472568</v>
      </c>
      <c r="R4" s="218">
        <v>0.92564820718311491</v>
      </c>
      <c r="S4" s="216">
        <v>0.91318396840961402</v>
      </c>
      <c r="U4" s="219">
        <f>AVERAGE(S3,S5)</f>
        <v>7.6137867373411244E-2</v>
      </c>
    </row>
    <row r="5" spans="1:21" ht="15.75">
      <c r="A5" s="97" t="s">
        <v>550</v>
      </c>
      <c r="B5" s="97" t="s">
        <v>150</v>
      </c>
      <c r="C5" s="97" t="s">
        <v>22</v>
      </c>
      <c r="D5" s="215">
        <v>6.9306957402655439E-2</v>
      </c>
      <c r="E5" s="215">
        <v>6.8166402949947136E-2</v>
      </c>
      <c r="F5" s="215">
        <v>6.3223979533934868E-2</v>
      </c>
      <c r="G5" s="215">
        <v>7.6893898264164748E-2</v>
      </c>
      <c r="H5" s="215">
        <v>7.3600039271502479E-2</v>
      </c>
      <c r="I5" s="215">
        <v>7.564236290427076E-2</v>
      </c>
      <c r="J5" s="215">
        <v>6.3781458552624237E-2</v>
      </c>
      <c r="K5" s="215">
        <v>6.078555229489415E-2</v>
      </c>
      <c r="L5" s="215">
        <v>6.1244213260596814E-2</v>
      </c>
      <c r="M5" s="215">
        <v>6.2254009888263871E-2</v>
      </c>
      <c r="N5" s="215">
        <v>6.1469963160108186E-2</v>
      </c>
      <c r="O5" s="215">
        <v>6.20723861956008E-2</v>
      </c>
      <c r="P5" s="215">
        <v>6.217302221488899E-2</v>
      </c>
      <c r="Q5" s="215">
        <v>5.8361501314963607E-2</v>
      </c>
      <c r="R5" s="218">
        <v>6.2919800138133489E-2</v>
      </c>
      <c r="S5" s="216">
        <v>6.5459703156436649E-2</v>
      </c>
      <c r="U5" s="219">
        <f>AVERAGE(S4,S6)</f>
        <v>0.92386213262658867</v>
      </c>
    </row>
    <row r="6" spans="1:21" ht="15">
      <c r="A6" s="97" t="s">
        <v>551</v>
      </c>
      <c r="B6" s="97" t="s">
        <v>150</v>
      </c>
      <c r="C6" s="97" t="s">
        <v>22</v>
      </c>
      <c r="D6" s="215">
        <v>0.93069304259734453</v>
      </c>
      <c r="E6" s="215">
        <v>0.93183359705005286</v>
      </c>
      <c r="F6" s="215">
        <v>0.93677602046606512</v>
      </c>
      <c r="G6" s="215">
        <v>0.92310610173583529</v>
      </c>
      <c r="H6" s="215">
        <v>0.92639996072849751</v>
      </c>
      <c r="I6" s="215">
        <v>0.92435763709572927</v>
      </c>
      <c r="J6" s="215">
        <v>0.93621854144737582</v>
      </c>
      <c r="K6" s="215">
        <v>0.93921444770510587</v>
      </c>
      <c r="L6" s="215">
        <v>0.93875578673940319</v>
      </c>
      <c r="M6" s="215">
        <v>0.93774599011173609</v>
      </c>
      <c r="N6" s="215">
        <v>0.93853003683989178</v>
      </c>
      <c r="O6" s="215">
        <v>0.93792761380439915</v>
      </c>
      <c r="P6" s="215">
        <v>0.93782697778511104</v>
      </c>
      <c r="Q6" s="215">
        <v>0.94163849868503635</v>
      </c>
      <c r="R6" s="218">
        <v>0.93708019986186653</v>
      </c>
      <c r="S6" s="216">
        <v>0.93454029684356332</v>
      </c>
      <c r="U6" s="220"/>
    </row>
  </sheetData>
  <sheetProtection algorithmName="SHA-512" hashValue="VhLXMzoudmYIZMxpShytoBRQGc+NS6iOnx9TGjNkAn7G+PFxOE0lksEhzXL7Xd833qJ5Se+wXNMs3oWcKNbkKg==" saltValue="FCwPEn566TS5hPHevF4A4A=="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B24AA-99AE-49A7-8B7D-CD7CACC560E4}">
  <sheetPr>
    <tabColor theme="4"/>
  </sheetPr>
  <dimension ref="A1:S17"/>
  <sheetViews>
    <sheetView workbookViewId="0">
      <selection activeCell="G21" sqref="G21"/>
    </sheetView>
  </sheetViews>
  <sheetFormatPr defaultRowHeight="12.75"/>
  <cols>
    <col min="1" max="1" width="15.42578125" bestFit="1" customWidth="1"/>
    <col min="2" max="2" width="22.85546875" bestFit="1" customWidth="1"/>
    <col min="3" max="3" width="15.28515625" bestFit="1" customWidth="1"/>
    <col min="4" max="4" width="30.140625" bestFit="1" customWidth="1"/>
    <col min="5" max="10" width="12.28515625" bestFit="1" customWidth="1"/>
    <col min="11" max="11" width="28.42578125" customWidth="1"/>
    <col min="12" max="12" width="20.140625" customWidth="1"/>
    <col min="13" max="19" width="12.28515625" bestFit="1" customWidth="1"/>
  </cols>
  <sheetData>
    <row r="1" spans="1:19" ht="15">
      <c r="A1" s="171" t="s">
        <v>527</v>
      </c>
      <c r="B1" s="172" t="s">
        <v>528</v>
      </c>
      <c r="C1" s="172" t="s">
        <v>529</v>
      </c>
      <c r="D1" s="172" t="s">
        <v>530</v>
      </c>
      <c r="E1" s="172" t="s">
        <v>531</v>
      </c>
      <c r="F1" s="172" t="s">
        <v>532</v>
      </c>
      <c r="G1" s="172" t="s">
        <v>533</v>
      </c>
      <c r="H1" s="172" t="s">
        <v>534</v>
      </c>
      <c r="I1" s="172" t="s">
        <v>535</v>
      </c>
      <c r="J1" s="172" t="s">
        <v>536</v>
      </c>
      <c r="K1" s="172" t="s">
        <v>537</v>
      </c>
      <c r="L1" s="172" t="s">
        <v>538</v>
      </c>
      <c r="M1" s="172" t="s">
        <v>539</v>
      </c>
      <c r="N1" s="172" t="s">
        <v>540</v>
      </c>
      <c r="O1" s="172" t="s">
        <v>541</v>
      </c>
      <c r="P1" s="172" t="s">
        <v>542</v>
      </c>
      <c r="Q1" s="172" t="s">
        <v>543</v>
      </c>
      <c r="R1" s="172" t="s">
        <v>544</v>
      </c>
      <c r="S1" s="173" t="s">
        <v>545</v>
      </c>
    </row>
    <row r="2" spans="1:19">
      <c r="A2" s="174" t="s">
        <v>546</v>
      </c>
      <c r="B2" s="175" t="s">
        <v>15</v>
      </c>
      <c r="C2" s="175" t="s">
        <v>547</v>
      </c>
      <c r="D2" s="175" t="s">
        <v>548</v>
      </c>
      <c r="E2" s="175">
        <v>34969000</v>
      </c>
      <c r="F2" s="175">
        <v>34574000</v>
      </c>
      <c r="G2" s="175">
        <v>35008000</v>
      </c>
      <c r="H2" s="175">
        <v>33085000</v>
      </c>
      <c r="I2" s="175">
        <v>44730000</v>
      </c>
      <c r="J2" s="175">
        <v>44712000</v>
      </c>
      <c r="K2" s="175">
        <v>44381000</v>
      </c>
      <c r="L2" s="175">
        <v>44945000</v>
      </c>
      <c r="M2" s="175">
        <v>45274000</v>
      </c>
      <c r="N2" s="175">
        <v>45981000</v>
      </c>
      <c r="O2" s="175">
        <v>49185000</v>
      </c>
      <c r="P2" s="175">
        <v>48692000</v>
      </c>
      <c r="Q2" s="175">
        <v>51685000</v>
      </c>
      <c r="R2" s="175">
        <v>54952000</v>
      </c>
      <c r="S2" s="176">
        <v>59085000</v>
      </c>
    </row>
    <row r="3" spans="1:19">
      <c r="A3" s="177" t="s">
        <v>546</v>
      </c>
      <c r="B3" s="178" t="s">
        <v>15</v>
      </c>
      <c r="C3" s="178" t="s">
        <v>549</v>
      </c>
      <c r="D3" s="178" t="s">
        <v>550</v>
      </c>
      <c r="E3" s="178">
        <v>3609219</v>
      </c>
      <c r="F3" s="178">
        <v>3369304</v>
      </c>
      <c r="G3" s="178">
        <v>3688215</v>
      </c>
      <c r="H3" s="178">
        <v>3770012</v>
      </c>
      <c r="I3" s="178">
        <v>4620655</v>
      </c>
      <c r="J3" s="178">
        <v>4582159</v>
      </c>
      <c r="K3" s="178">
        <v>3911322</v>
      </c>
      <c r="L3" s="178">
        <v>4685158</v>
      </c>
      <c r="M3" s="178">
        <v>4670324</v>
      </c>
      <c r="N3" s="178">
        <v>4529971</v>
      </c>
      <c r="O3" s="178">
        <v>4193483</v>
      </c>
      <c r="P3" s="178">
        <v>4873846</v>
      </c>
      <c r="Q3" s="178">
        <v>4709504</v>
      </c>
      <c r="R3" s="178">
        <v>4121699</v>
      </c>
      <c r="S3" s="179">
        <v>4521005</v>
      </c>
    </row>
    <row r="4" spans="1:19">
      <c r="A4" s="174" t="s">
        <v>546</v>
      </c>
      <c r="B4" s="175" t="s">
        <v>15</v>
      </c>
      <c r="C4" s="175" t="s">
        <v>549</v>
      </c>
      <c r="D4" s="175" t="s">
        <v>551</v>
      </c>
      <c r="E4" s="175">
        <v>54231608</v>
      </c>
      <c r="F4" s="175">
        <v>55704600</v>
      </c>
      <c r="G4" s="175">
        <v>55333808</v>
      </c>
      <c r="H4" s="175">
        <v>55292178</v>
      </c>
      <c r="I4" s="175">
        <v>55173715</v>
      </c>
      <c r="J4" s="175">
        <v>57076058</v>
      </c>
      <c r="K4" s="175">
        <v>59224760</v>
      </c>
      <c r="L4" s="175">
        <v>61384880</v>
      </c>
      <c r="M4" s="175">
        <v>64711996</v>
      </c>
      <c r="N4" s="175">
        <v>66571134</v>
      </c>
      <c r="O4" s="175">
        <v>60708242</v>
      </c>
      <c r="P4" s="175">
        <v>67459478</v>
      </c>
      <c r="Q4" s="175">
        <v>65253535</v>
      </c>
      <c r="R4" s="175">
        <v>55328227</v>
      </c>
      <c r="S4" s="176">
        <v>55050318</v>
      </c>
    </row>
    <row r="5" spans="1:19">
      <c r="A5" s="177" t="s">
        <v>546</v>
      </c>
      <c r="B5" s="178" t="s">
        <v>19</v>
      </c>
      <c r="C5" s="178" t="s">
        <v>547</v>
      </c>
      <c r="D5" s="178" t="s">
        <v>548</v>
      </c>
      <c r="E5" s="178">
        <v>121297000</v>
      </c>
      <c r="F5" s="178">
        <v>121297000</v>
      </c>
      <c r="G5" s="178">
        <v>113816000</v>
      </c>
      <c r="H5" s="178">
        <v>113815000</v>
      </c>
      <c r="I5" s="178">
        <v>114295000</v>
      </c>
      <c r="J5" s="178">
        <v>114324000</v>
      </c>
      <c r="K5" s="178">
        <v>114268000</v>
      </c>
      <c r="L5" s="178">
        <v>114480000</v>
      </c>
      <c r="M5" s="178">
        <v>104723000</v>
      </c>
      <c r="N5" s="178">
        <v>131034000</v>
      </c>
      <c r="O5" s="178">
        <v>137062000</v>
      </c>
      <c r="P5" s="178">
        <v>153478000</v>
      </c>
      <c r="Q5" s="178">
        <v>173837000</v>
      </c>
      <c r="R5" s="178">
        <v>173840792</v>
      </c>
      <c r="S5" s="179">
        <v>179503000</v>
      </c>
    </row>
    <row r="6" spans="1:19">
      <c r="A6" s="174" t="s">
        <v>546</v>
      </c>
      <c r="B6" s="175" t="s">
        <v>19</v>
      </c>
      <c r="C6" s="175" t="s">
        <v>549</v>
      </c>
      <c r="D6" s="175" t="s">
        <v>550</v>
      </c>
      <c r="E6" s="175">
        <v>3672586</v>
      </c>
      <c r="F6" s="175">
        <v>3505844</v>
      </c>
      <c r="G6" s="175">
        <v>4362221</v>
      </c>
      <c r="H6" s="175">
        <v>4317003</v>
      </c>
      <c r="I6" s="175">
        <v>4986643</v>
      </c>
      <c r="J6" s="175">
        <v>5089364</v>
      </c>
      <c r="K6" s="175">
        <v>5508055</v>
      </c>
      <c r="L6" s="175">
        <v>5581821</v>
      </c>
      <c r="M6" s="175">
        <v>5763805</v>
      </c>
      <c r="N6" s="175">
        <v>5819124</v>
      </c>
      <c r="O6" s="175">
        <v>5606173</v>
      </c>
      <c r="P6" s="175">
        <v>6941654</v>
      </c>
      <c r="Q6" s="175">
        <v>6857453</v>
      </c>
      <c r="R6" s="175">
        <v>6309327</v>
      </c>
      <c r="S6" s="176">
        <v>5832970</v>
      </c>
    </row>
    <row r="7" spans="1:19">
      <c r="A7" s="177" t="s">
        <v>546</v>
      </c>
      <c r="B7" s="178" t="s">
        <v>19</v>
      </c>
      <c r="C7" s="178" t="s">
        <v>549</v>
      </c>
      <c r="D7" s="178" t="s">
        <v>551</v>
      </c>
      <c r="E7" s="178">
        <v>54276203</v>
      </c>
      <c r="F7" s="178">
        <v>54978704</v>
      </c>
      <c r="G7" s="178">
        <v>53956731</v>
      </c>
      <c r="H7" s="178">
        <v>53669005</v>
      </c>
      <c r="I7" s="178">
        <v>53957504</v>
      </c>
      <c r="J7" s="178">
        <v>55077654</v>
      </c>
      <c r="K7" s="178">
        <v>57335691</v>
      </c>
      <c r="L7" s="178">
        <v>59356361</v>
      </c>
      <c r="M7" s="178">
        <v>62896044</v>
      </c>
      <c r="N7" s="178">
        <v>64592499</v>
      </c>
      <c r="O7" s="178">
        <v>60065655</v>
      </c>
      <c r="P7" s="178">
        <v>62238401</v>
      </c>
      <c r="Q7" s="178">
        <v>62830759</v>
      </c>
      <c r="R7" s="178">
        <v>59113378</v>
      </c>
      <c r="S7" s="179">
        <v>55184376</v>
      </c>
    </row>
    <row r="8" spans="1:19">
      <c r="A8" s="174" t="s">
        <v>546</v>
      </c>
      <c r="B8" s="175" t="s">
        <v>22</v>
      </c>
      <c r="C8" s="175" t="s">
        <v>547</v>
      </c>
      <c r="D8" s="175" t="s">
        <v>548</v>
      </c>
      <c r="E8" s="175">
        <v>41285000</v>
      </c>
      <c r="F8" s="175">
        <v>39240000</v>
      </c>
      <c r="G8" s="175">
        <v>38933000</v>
      </c>
      <c r="H8" s="175">
        <v>38451000</v>
      </c>
      <c r="I8" s="175">
        <v>38409000</v>
      </c>
      <c r="J8" s="175">
        <v>38459000</v>
      </c>
      <c r="K8" s="175">
        <v>38455000</v>
      </c>
      <c r="L8" s="175">
        <v>38394000</v>
      </c>
      <c r="M8" s="175">
        <v>38173000</v>
      </c>
      <c r="N8" s="175">
        <v>38661000</v>
      </c>
      <c r="O8" s="175">
        <v>38587000</v>
      </c>
      <c r="P8" s="175">
        <v>63958000</v>
      </c>
      <c r="Q8" s="175">
        <v>63957000</v>
      </c>
      <c r="R8" s="175">
        <v>63484000</v>
      </c>
      <c r="S8" s="176">
        <v>69094213</v>
      </c>
    </row>
    <row r="9" spans="1:19">
      <c r="A9" s="177" t="s">
        <v>546</v>
      </c>
      <c r="B9" s="178" t="s">
        <v>22</v>
      </c>
      <c r="C9" s="178" t="s">
        <v>549</v>
      </c>
      <c r="D9" s="178" t="s">
        <v>550</v>
      </c>
      <c r="E9" s="178">
        <v>5201838</v>
      </c>
      <c r="F9" s="178">
        <v>5347866</v>
      </c>
      <c r="G9" s="178">
        <v>4916046</v>
      </c>
      <c r="H9" s="178">
        <v>6072780</v>
      </c>
      <c r="I9" s="178">
        <v>5829424</v>
      </c>
      <c r="J9" s="178">
        <v>6261892</v>
      </c>
      <c r="K9" s="178">
        <v>5579131</v>
      </c>
      <c r="L9" s="178">
        <v>5788520</v>
      </c>
      <c r="M9" s="178">
        <v>6198319</v>
      </c>
      <c r="N9" s="178">
        <v>6374585</v>
      </c>
      <c r="O9" s="178">
        <v>6038045</v>
      </c>
      <c r="P9" s="178">
        <v>7266155</v>
      </c>
      <c r="Q9" s="178">
        <v>6969806</v>
      </c>
      <c r="R9" s="178">
        <v>6630374</v>
      </c>
      <c r="S9" s="179">
        <v>6220927</v>
      </c>
    </row>
    <row r="10" spans="1:19">
      <c r="A10" s="174" t="s">
        <v>546</v>
      </c>
      <c r="B10" s="175" t="s">
        <v>22</v>
      </c>
      <c r="C10" s="175" t="s">
        <v>549</v>
      </c>
      <c r="D10" s="175" t="s">
        <v>551</v>
      </c>
      <c r="E10" s="175">
        <v>68892721</v>
      </c>
      <c r="F10" s="175">
        <v>72458917</v>
      </c>
      <c r="G10" s="175">
        <v>70593997</v>
      </c>
      <c r="H10" s="175">
        <v>71018284</v>
      </c>
      <c r="I10" s="175">
        <v>72372202</v>
      </c>
      <c r="J10" s="175">
        <v>74981684</v>
      </c>
      <c r="K10" s="175">
        <v>79107391</v>
      </c>
      <c r="L10" s="175">
        <v>82279892</v>
      </c>
      <c r="M10" s="175">
        <v>87426833</v>
      </c>
      <c r="N10" s="175">
        <v>88683950</v>
      </c>
      <c r="O10" s="175">
        <v>85421914</v>
      </c>
      <c r="P10" s="175">
        <v>89726962</v>
      </c>
      <c r="Q10" s="175">
        <v>85733935</v>
      </c>
      <c r="R10" s="175">
        <v>86253001</v>
      </c>
      <c r="S10" s="176">
        <v>88920102</v>
      </c>
    </row>
    <row r="13" spans="1:19" ht="26.25">
      <c r="K13" s="184" t="s">
        <v>22</v>
      </c>
      <c r="L13" s="182" t="s">
        <v>550</v>
      </c>
      <c r="M13" s="185">
        <f>S9</f>
        <v>6220927</v>
      </c>
    </row>
    <row r="14" spans="1:19" ht="15">
      <c r="K14" s="184" t="s">
        <v>22</v>
      </c>
      <c r="L14" s="183" t="s">
        <v>551</v>
      </c>
      <c r="M14" s="186">
        <f>S10</f>
        <v>88920102</v>
      </c>
    </row>
    <row r="15" spans="1:19" ht="15">
      <c r="K15" s="184" t="s">
        <v>22</v>
      </c>
      <c r="L15" s="182" t="s">
        <v>56</v>
      </c>
      <c r="M15" s="186">
        <f>SUM(M13:M14)</f>
        <v>95141029</v>
      </c>
    </row>
    <row r="16" spans="1:19" ht="25.5">
      <c r="K16" s="184" t="s">
        <v>22</v>
      </c>
      <c r="L16" s="187" t="s">
        <v>552</v>
      </c>
      <c r="M16" s="96">
        <f>M13/M15</f>
        <v>6.538637499916046E-2</v>
      </c>
    </row>
    <row r="17" spans="11:13">
      <c r="K17" s="184" t="s">
        <v>22</v>
      </c>
      <c r="L17" s="187" t="s">
        <v>553</v>
      </c>
      <c r="M17" s="96">
        <f>M14/M15</f>
        <v>0.93461362500083955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1C219-5437-4862-9FA7-C20E86E35EEC}">
  <sheetPr>
    <tabColor theme="4"/>
  </sheetPr>
  <dimension ref="A1:E8"/>
  <sheetViews>
    <sheetView workbookViewId="0">
      <selection activeCell="E23" sqref="E23"/>
    </sheetView>
  </sheetViews>
  <sheetFormatPr defaultColWidth="9.140625" defaultRowHeight="12.75"/>
  <cols>
    <col min="1" max="1" width="21.42578125" style="22" customWidth="1"/>
    <col min="2" max="2" width="14.42578125" style="22" bestFit="1" customWidth="1"/>
    <col min="3" max="3" width="10" style="22" bestFit="1" customWidth="1"/>
    <col min="4" max="4" width="13.7109375" style="22" bestFit="1" customWidth="1"/>
    <col min="5" max="5" width="25.7109375" style="22" bestFit="1" customWidth="1"/>
    <col min="6" max="16384" width="9.140625" style="22"/>
  </cols>
  <sheetData>
    <row r="1" spans="1:5">
      <c r="A1" s="213" t="s">
        <v>565</v>
      </c>
      <c r="B1" s="213"/>
      <c r="C1" s="213"/>
      <c r="D1" s="213"/>
      <c r="E1" s="213"/>
    </row>
    <row r="2" spans="1:5" ht="13.5" customHeight="1">
      <c r="A2" s="23" t="s">
        <v>564</v>
      </c>
      <c r="B2" s="23"/>
      <c r="C2" s="23"/>
      <c r="D2" s="23"/>
      <c r="E2" s="23"/>
    </row>
    <row r="3" spans="1:5">
      <c r="A3" s="97" t="s">
        <v>555</v>
      </c>
      <c r="B3" s="97" t="s">
        <v>559</v>
      </c>
      <c r="C3" s="97" t="s">
        <v>560</v>
      </c>
      <c r="D3" s="97" t="s">
        <v>561</v>
      </c>
      <c r="E3" s="97" t="s">
        <v>562</v>
      </c>
    </row>
    <row r="4" spans="1:5">
      <c r="A4" s="97" t="s">
        <v>563</v>
      </c>
      <c r="B4" s="189">
        <v>5.5</v>
      </c>
      <c r="C4" s="189">
        <v>30</v>
      </c>
      <c r="D4" s="212">
        <v>0.18333333333333332</v>
      </c>
      <c r="E4" s="212">
        <v>1</v>
      </c>
    </row>
    <row r="5" spans="1:5">
      <c r="A5" s="97" t="s">
        <v>556</v>
      </c>
      <c r="B5" s="189">
        <v>5.5</v>
      </c>
      <c r="C5" s="189">
        <v>32</v>
      </c>
      <c r="D5" s="212">
        <v>0.171875</v>
      </c>
      <c r="E5" s="212">
        <v>0.93750000000000011</v>
      </c>
    </row>
    <row r="6" spans="1:5">
      <c r="A6" s="97" t="s">
        <v>557</v>
      </c>
      <c r="B6" s="189">
        <v>3.5</v>
      </c>
      <c r="C6" s="189">
        <v>17</v>
      </c>
      <c r="D6" s="212">
        <v>0.20588235294117646</v>
      </c>
      <c r="E6" s="212">
        <v>1.1229946524064172</v>
      </c>
    </row>
    <row r="7" spans="1:5">
      <c r="A7" s="97" t="s">
        <v>558</v>
      </c>
      <c r="B7" s="189">
        <v>4.5</v>
      </c>
      <c r="C7" s="189">
        <v>22</v>
      </c>
      <c r="D7" s="212">
        <v>0.20454545454545456</v>
      </c>
      <c r="E7" s="212">
        <v>1.115702479338843</v>
      </c>
    </row>
    <row r="8" spans="1:5">
      <c r="A8" s="97" t="s">
        <v>170</v>
      </c>
      <c r="B8" s="189">
        <v>3.5</v>
      </c>
      <c r="C8" s="189">
        <v>25</v>
      </c>
      <c r="D8" s="212">
        <v>0.14000000000000001</v>
      </c>
      <c r="E8" s="212">
        <v>0.76363636363636378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60325c-1866-4ae8-9559-2e31b2f1ecfa" xsi:nil="true"/>
    <lcf76f155ced4ddcb4097134ff3c332f xmlns="11dba7d8-5ed6-46e4-a9bd-30db65656c77">
      <Terms xmlns="http://schemas.microsoft.com/office/infopath/2007/PartnerControls"/>
    </lcf76f155ced4ddcb4097134ff3c332f>
    <_Flow_SignoffStatus xmlns="11dba7d8-5ed6-46e4-a9bd-30db65656c77" xsi:nil="true"/>
    <SharedWithUsers xmlns="9560325c-1866-4ae8-9559-2e31b2f1ecfa">
      <UserInfo>
        <DisplayName/>
        <AccountId xsi:nil="true"/>
        <AccountType/>
      </UserInfo>
    </SharedWithUsers>
    <PM xmlns="11dba7d8-5ed6-46e4-a9bd-30db65656c77">
      <UserInfo>
        <DisplayName/>
        <AccountId xsi:nil="true"/>
        <AccountType/>
      </UserInfo>
    </PM>
    <ProjectNumber xmlns="11dba7d8-5ed6-46e4-a9bd-30db65656c77" xsi:nil="true"/>
    <StartDate xmlns="11dba7d8-5ed6-46e4-a9bd-30db65656c77" xsi:nil="true"/>
    <PD xmlns="11dba7d8-5ed6-46e4-a9bd-30db65656c77">
      <UserInfo>
        <DisplayName/>
        <AccountId xsi:nil="true"/>
        <AccountType/>
      </UserInfo>
    </PD>
    <ProjectName xmlns="11dba7d8-5ed6-46e4-a9bd-30db65656c7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55A4B03A60A34B9BF09E62BE64A077" ma:contentTypeVersion="29" ma:contentTypeDescription="Create a new document." ma:contentTypeScope="" ma:versionID="6d5eb23f44bd43a6c3384ce1aa47ec1d">
  <xsd:schema xmlns:xsd="http://www.w3.org/2001/XMLSchema" xmlns:xs="http://www.w3.org/2001/XMLSchema" xmlns:p="http://schemas.microsoft.com/office/2006/metadata/properties" xmlns:ns2="11dba7d8-5ed6-46e4-a9bd-30db65656c77" xmlns:ns3="9560325c-1866-4ae8-9559-2e31b2f1ecfa" targetNamespace="http://schemas.microsoft.com/office/2006/metadata/properties" ma:root="true" ma:fieldsID="e7927c3652a8cd56e77093af12872e64" ns2:_="" ns3:_="">
    <xsd:import namespace="11dba7d8-5ed6-46e4-a9bd-30db65656c77"/>
    <xsd:import namespace="9560325c-1866-4ae8-9559-2e31b2f1ec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_Flow_SignoffStatus" minOccurs="0"/>
                <xsd:element ref="ns2:MediaServiceBillingMetadata" minOccurs="0"/>
                <xsd:element ref="ns2:ProjectName" minOccurs="0"/>
                <xsd:element ref="ns2:ProjectNumber" minOccurs="0"/>
                <xsd:element ref="ns2:PM" minOccurs="0"/>
                <xsd:element ref="ns2:PD" minOccurs="0"/>
                <xsd:element ref="ns2: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ba7d8-5ed6-46e4-a9bd-30db65656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1c469ee-23b7-4832-870e-4410ecd4426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ProjectName" ma:index="27" nillable="true" ma:displayName="Project Name" ma:format="Dropdown" ma:internalName="ProjectName">
      <xsd:simpleType>
        <xsd:restriction base="dms:Note">
          <xsd:maxLength value="255"/>
        </xsd:restriction>
      </xsd:simpleType>
    </xsd:element>
    <xsd:element name="ProjectNumber" ma:index="28" nillable="true" ma:displayName="Project Number" ma:decimals="0" ma:format="Dropdown" ma:internalName="ProjectNumber" ma:percentage="FALSE">
      <xsd:simpleType>
        <xsd:restriction base="dms:Number"/>
      </xsd:simpleType>
    </xsd:element>
    <xsd:element name="PM" ma:index="29"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D" ma:index="30" nillable="true" ma:displayName="PD" ma:format="Dropdown" ma:list="UserInfo" ma:SharePointGroup="0" ma:internalName="P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rtDate" ma:index="31" nillable="true" ma:displayName="Start Date" ma:format="DateOnly"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560325c-1866-4ae8-9559-2e31b2f1ecf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c42483b-a2de-4a42-9fc4-dc87c73a22d2}" ma:internalName="TaxCatchAll" ma:showField="CatchAllData" ma:web="9560325c-1866-4ae8-9559-2e31b2f1e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11A0D0-8FDA-4DD6-840E-BA16458A50C3}">
  <ds:schemaRefs>
    <ds:schemaRef ds:uri="http://schemas.microsoft.com/sharepoint/v3/contenttype/forms"/>
  </ds:schemaRefs>
</ds:datastoreItem>
</file>

<file path=customXml/itemProps2.xml><?xml version="1.0" encoding="utf-8"?>
<ds:datastoreItem xmlns:ds="http://schemas.openxmlformats.org/officeDocument/2006/customXml" ds:itemID="{907E6478-8408-4DEA-B094-DF0F6A494201}">
  <ds:schemaRefs>
    <ds:schemaRef ds:uri="9560325c-1866-4ae8-9559-2e31b2f1ecfa"/>
    <ds:schemaRef ds:uri="http://schemas.microsoft.com/office/infopath/2007/PartnerControls"/>
    <ds:schemaRef ds:uri="11dba7d8-5ed6-46e4-a9bd-30db65656c77"/>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73EDCB50-488D-45F4-9505-C0F1385418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dba7d8-5ed6-46e4-a9bd-30db65656c77"/>
    <ds:schemaRef ds:uri="9560325c-1866-4ae8-9559-2e31b2f1e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15</vt:i4>
      </vt:variant>
    </vt:vector>
  </HeadingPairs>
  <TitlesOfParts>
    <vt:vector size="15" baseType="lpstr">
      <vt:lpstr>Cover Page</vt:lpstr>
      <vt:lpstr>Land Use Summary</vt:lpstr>
      <vt:lpstr>Allocation urban and rural</vt:lpstr>
      <vt:lpstr>Allocate heavy v to sectors</vt:lpstr>
      <vt:lpstr>Tonnages</vt:lpstr>
      <vt:lpstr>Aggregation of Costs</vt:lpstr>
      <vt:lpstr>Masterton</vt:lpstr>
      <vt:lpstr>Data sources&gt;</vt:lpstr>
      <vt:lpstr>Wood availability forecast </vt:lpstr>
      <vt:lpstr>NEFD</vt:lpstr>
      <vt:lpstr>New Zealand Dairy Stat 24-25</vt:lpstr>
      <vt:lpstr>Agricultural production stats25</vt:lpstr>
      <vt:lpstr>VKT </vt:lpstr>
      <vt:lpstr>SHLR breakdown</vt:lpstr>
      <vt:lpstr>Axle Loading</vt:lpstr>
    </vt:vector>
  </TitlesOfParts>
  <Manager/>
  <Company>Morrison Low &amp; Associates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Raiyan Ferdous</dc:creator>
  <cp:keywords/>
  <dc:description/>
  <cp:lastModifiedBy>Charly Clarke</cp:lastModifiedBy>
  <cp:revision/>
  <dcterms:created xsi:type="dcterms:W3CDTF">2007-12-05T22:51:00Z</dcterms:created>
  <dcterms:modified xsi:type="dcterms:W3CDTF">2026-09-24T02:42:53Z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0x0101004F55A4B03A60A34B9BF09E62BE64A077</vt:lpwstr>
  </property>
  <property fmtid="{D5CDD505-2E9C-101B-9397-08002B2CF9AE}" pid="3" name="Order">
    <vt:r8>10700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