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sthwaidc-my.sharepoint.com/personal/katherine_meerman_swdc_govt_nz/Documents/LWDW/WSDP/SWDC/"/>
    </mc:Choice>
  </mc:AlternateContent>
  <xr:revisionPtr revIDLastSave="0" documentId="8_{DAFDEDE1-297A-4A23-A96E-27744A985C17}" xr6:coauthVersionLast="47" xr6:coauthVersionMax="47" xr10:uidLastSave="{00000000-0000-0000-0000-000000000000}"/>
  <bookViews>
    <workbookView xWindow="-110" yWindow="-110" windowWidth="19420" windowHeight="11500" tabRatio="819" firstSheet="1" activeTab="2" xr2:uid="{4918EC22-5BBB-48B7-AD64-695C9292AC67}"/>
  </bookViews>
  <sheets>
    <sheet name="Input" sheetId="1" r:id="rId1"/>
    <sheet name="0. Overview" sheetId="2" r:id="rId2"/>
    <sheet name="1. Charts" sheetId="3" r:id="rId3"/>
    <sheet name="2. Measures" sheetId="4" r:id="rId4"/>
    <sheet name="3. Investment" sheetId="5" r:id="rId5"/>
    <sheet name="4. Financials - water services" sheetId="6" r:id="rId6"/>
    <sheet name="5. Financials - drinking water" sheetId="7" r:id="rId7"/>
    <sheet name="6. Financials - wastewater" sheetId="8" r:id="rId8"/>
    <sheet name="7. Financials - stormwater" sheetId="9" r:id="rId9"/>
  </sheets>
  <definedNames>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001" hidden="1">"w/ RR"</definedName>
    <definedName name="_AtRisk_SimSetting_SimName002" hidden="1">"w/o RR"</definedName>
    <definedName name="_AtRisk_SimSetting_SimNameCount" hidden="1">2</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0</definedName>
    <definedName name="Allocation_activity">#REF!</definedName>
    <definedName name="Allocation_method">#REF!</definedName>
    <definedName name="ATAPCapexOpex" hidden="1">#REF!</definedName>
    <definedName name="ATAPcapexopex2" hidden="1">#REF!</definedName>
    <definedName name="BEx3C7U5X9PCZMFNJM2JSKB9WDC7" hidden="1">#REF!</definedName>
    <definedName name="BEx5ACW0C7GHN0W44M0V4M2N9NWX" hidden="1">#REF!</definedName>
    <definedName name="BEx5FCUYVCUTGP1DC9R2HMJUSKG7" hidden="1">#REF!</definedName>
    <definedName name="BEx787B3P3B4TRLFQH4FKDM9IVFG" hidden="1">#REF!</definedName>
    <definedName name="BEx9EYJR8RIJJYIC2A87I2KSW8VH" hidden="1">#REF!</definedName>
    <definedName name="BExCY5OFHG90Y9L640YYX6E4JIHA" hidden="1">#REF!</definedName>
    <definedName name="BExEO7F973V6G4LOTL4G4P982B15" hidden="1">#REF!</definedName>
    <definedName name="BExQ5813K86IYCMNBRXPB9X0YHE2" hidden="1">#REF!</definedName>
    <definedName name="BExS748XJ69KL1ZMS091A8XEL5H8" hidden="1">#REF!</definedName>
    <definedName name="BExTYYVS8XNTRGK2F7W4ER905OSW" hidden="1">#REF!</definedName>
    <definedName name="BExY13TSMHDZBN633U4NULAC5YAM" hidden="1">#REF!</definedName>
    <definedName name="Blank2_On">#REF!</definedName>
    <definedName name="Blank2DC_On">#REF!</definedName>
    <definedName name="CartertonDC_On">#REF!</definedName>
    <definedName name="Check_log">#REF!</definedName>
    <definedName name="Check_model">#REF!</definedName>
    <definedName name="Check_solve">#REF!</definedName>
    <definedName name="CIQWBGuid" hidden="1">"2e01d50b-fca5-4167-af39-6d15e401e13d"</definedName>
    <definedName name="Composition" hidden="1">#REF!</definedName>
    <definedName name="DCInclusion">#REF!</definedName>
    <definedName name="EPMWorkbookOptions_2" hidden="1">"gGGWdGa6m4ihZStvN9EEFsOuhmQwiaYUJ2Pex0B7FIbA83lQ4tMQGv27Xrf/taebj7LUf1oGxSgazCIPyyU09Z4DRHxGEYmjkLLSKHxhJfJzrhEHkSf+6D/1Opppts1vTsvodPjfmtvX9f7jV4d/HqIghtVvVZyXuC5Yi6IAe2jD3IMLT3Nks2w0L/1orKrZGnzh5NrcgvhuVwv7PpAmngCJk1Lfl67LjDMarnLG4WyVQw+DkDYYnYIq5nTs"</definedName>
    <definedName name="EPMWorkbookOptions_3" hidden="1">"C01mkRO5M7tlIKeFwSu7Qy8hxYzXlazFIninbyu+hUfjgP8wBwJOHPgtDBRRb4zXefZqDqjnDtOYbUwov38r0WrW7xt+qGpTd0/w31NInNQ11/hm2d9VMa93X5LFEvJNpCLJ5bq8kSBvcZNYi/pAG5IqLj7kZo+jAL31aBgBZW8NuVKtDGEwLFaqvlJUrobXxXoFoCghuFL8QU2pDcrzkbNROYk7KF6tXBcmA74t5siylOcKuGQRv2HTU+ri"</definedName>
    <definedName name="EPMWorkbookOptions_4" hidden="1">"j9JTT7MN023J/OODYTtty+T7wU7EO5lTpt7W0gLfWm8IDm6FOTvC1kO5f3UPi1XF/XNWxUPM21j/Pwer5bhGp+ueDqskKXVJOpxV+QxZXZqYZZX/p5Zcy9U6F1pzyzyR1r7u2ifTWi5XKoqiHE7r1XnSOjcxSys/6syB1VzHbV6AzS3zBGCblt53v/eMk4Gt1mSpXq8dDmz5/IBNTcwCa1pN9wJqbpkngNqzrbv2x/ZWfhKoVsvlI44Cyvmx"</definedName>
    <definedName name="EPMWorkbookOptions_5" hidden="1">"uvYxSyt/UbZM48Jrbpkn8Grz9/L+xw6uR79lVc4P15WNu0fXszgJ/GZfjJok8Zed62sp+fq/u/PfeZzddvf0M9LxT3L1/J7kuYM7D3G1dHkB/a2cPmide+NDB/rjYa2dH6wrGzmm/FuSL1tpfpknINo1NOfeNpx/kdD6+RGaurgAtGfYbavZ1i+UHiPKVJMvUsW8O7hMayrn2XZvLzcbd288VRuGFOKxRawISHrtlG1MdHoAiM6TWsRBL5Aq"</definedName>
    <definedName name="EPMWorkbookOptions_6" hidden="1">"t5sTbXq1y9lkiY2percj0bfjB0QxGgTQBTpay3faP39a51jeGzf+AQtEER9yHgAA"</definedName>
    <definedName name="Error_limit">#REF!</definedName>
    <definedName name="fujdr" hidden="1">#REF!</definedName>
    <definedName name="GST">#REF!</definedName>
    <definedName name="GWRC_On">#REF!</definedName>
    <definedName name="Header1" hidden="1">IF(COUNTA(#REF!)=0,0,INDEX(#REF!,MATCH(ROW(#REF!),#REF!,TRUE)))+1</definedName>
    <definedName name="Header1a" hidden="1">IF(COUNTA(#REF!)=0,0,INDEX(#REF!,MATCH(ROW(#REF!),#REF!,TRUE)))+1</definedName>
    <definedName name="Header2" hidden="1">[0]!Header1-1 &amp; "." &amp; MAX(1,COUNTA(INDEX(#REF!,MATCH([0]!Header1-1,#REF!,FALSE)):#REF!))</definedName>
    <definedName name="List_connections">#REF!</definedName>
    <definedName name="List_councils">#REF!</definedName>
    <definedName name="List_units">#REF!</definedName>
    <definedName name="List_yes_no">#REF!</definedName>
    <definedName name="Log_current_entries">#REF!</definedName>
    <definedName name="new" hidden="1">#REF!</definedName>
    <definedName name="None" hidden="1">#REF!</definedName>
    <definedName name="Notes" hidden="1">#REF!</definedName>
    <definedName name="On_Off">#REF!</definedName>
    <definedName name="Pal_Workbook_GUID" hidden="1">"CZ72BL2B7TGECH77C7SIAT28"</definedName>
    <definedName name="q"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"PBW"</definedName>
    <definedName name="SAPBEXwbID" hidden="1">"54QB92NN890G0XIM9CTQ7UFMA"</definedName>
    <definedName name="SAPBEXwbID2" hidden="1">"6J5BT80W4VZS0T71W225L5TOU"</definedName>
    <definedName name="Scenario_live">#REF!</definedName>
    <definedName name="Scenarios">#REF!</definedName>
    <definedName name="selection1or2">#REF!</definedName>
    <definedName name="selection1to3">#REF!</definedName>
    <definedName name="Solver">#REF!</definedName>
    <definedName name="SouthWaiDC_On">#REF!</definedName>
    <definedName name="SW_On">#REF!</definedName>
    <definedName name="TararuaDC_On">#REF!</definedName>
    <definedName name="Th">#REF!</definedName>
    <definedName name="WS_On">#REF!</definedName>
    <definedName name="WW_On">#REF!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9" l="1"/>
  <c r="L65" i="9"/>
  <c r="K65" i="9"/>
  <c r="J65" i="9"/>
  <c r="I65" i="9"/>
  <c r="J64" i="9"/>
  <c r="N64" i="9"/>
  <c r="M64" i="9"/>
  <c r="L64" i="9"/>
  <c r="K64" i="9"/>
  <c r="K66" i="9" s="1"/>
  <c r="I33" i="9"/>
  <c r="H64" i="9"/>
  <c r="G64" i="9"/>
  <c r="F64" i="9"/>
  <c r="E64" i="9"/>
  <c r="N33" i="9"/>
  <c r="M33" i="9"/>
  <c r="K33" i="9"/>
  <c r="G33" i="9"/>
  <c r="E65" i="9"/>
  <c r="N46" i="9"/>
  <c r="M46" i="9"/>
  <c r="L46" i="9"/>
  <c r="K46" i="9"/>
  <c r="J46" i="9"/>
  <c r="I46" i="9"/>
  <c r="H46" i="9"/>
  <c r="G46" i="9"/>
  <c r="F46" i="9"/>
  <c r="E46" i="9"/>
  <c r="C46" i="9"/>
  <c r="P5" i="9"/>
  <c r="C96" i="8"/>
  <c r="E83" i="8"/>
  <c r="F83" i="8" s="1"/>
  <c r="G83" i="8" s="1"/>
  <c r="M65" i="8"/>
  <c r="M66" i="8" s="1"/>
  <c r="K65" i="8"/>
  <c r="K66" i="8" s="1"/>
  <c r="F65" i="8"/>
  <c r="F66" i="8" s="1"/>
  <c r="E65" i="8"/>
  <c r="E66" i="8" s="1"/>
  <c r="N33" i="8"/>
  <c r="H64" i="8"/>
  <c r="I30" i="6"/>
  <c r="G11" i="5"/>
  <c r="F41" i="8"/>
  <c r="E41" i="8"/>
  <c r="C41" i="8"/>
  <c r="N46" i="8"/>
  <c r="M46" i="8"/>
  <c r="L46" i="8"/>
  <c r="K46" i="8"/>
  <c r="J46" i="8"/>
  <c r="I46" i="8"/>
  <c r="H46" i="8"/>
  <c r="G46" i="8"/>
  <c r="F46" i="8"/>
  <c r="E46" i="8"/>
  <c r="C96" i="7"/>
  <c r="C96" i="6" s="1"/>
  <c r="E83" i="7"/>
  <c r="K66" i="7"/>
  <c r="L65" i="7"/>
  <c r="L66" i="7" s="1"/>
  <c r="F65" i="7"/>
  <c r="F66" i="7" s="1"/>
  <c r="N46" i="7"/>
  <c r="I32" i="6"/>
  <c r="I64" i="6" s="1"/>
  <c r="H64" i="7"/>
  <c r="G32" i="6"/>
  <c r="G64" i="6" s="1"/>
  <c r="F32" i="6"/>
  <c r="F64" i="6" s="1"/>
  <c r="M31" i="6"/>
  <c r="I33" i="7"/>
  <c r="G33" i="7"/>
  <c r="F31" i="6"/>
  <c r="E31" i="6"/>
  <c r="F6" i="5"/>
  <c r="L33" i="7"/>
  <c r="K65" i="7"/>
  <c r="H65" i="7"/>
  <c r="K24" i="6"/>
  <c r="I24" i="6"/>
  <c r="F24" i="6"/>
  <c r="C24" i="6"/>
  <c r="N23" i="6"/>
  <c r="P21" i="7"/>
  <c r="F21" i="6"/>
  <c r="F20" i="6"/>
  <c r="E20" i="6"/>
  <c r="N14" i="6"/>
  <c r="I14" i="6"/>
  <c r="M13" i="6"/>
  <c r="M46" i="6" s="1"/>
  <c r="L46" i="7"/>
  <c r="K46" i="7"/>
  <c r="J46" i="7"/>
  <c r="H13" i="6"/>
  <c r="H46" i="6" s="1"/>
  <c r="F46" i="7"/>
  <c r="E46" i="7"/>
  <c r="C46" i="7"/>
  <c r="N7" i="6"/>
  <c r="L7" i="6"/>
  <c r="J7" i="6"/>
  <c r="F7" i="6"/>
  <c r="E7" i="6"/>
  <c r="C7" i="6"/>
  <c r="N6" i="6"/>
  <c r="J6" i="6"/>
  <c r="I6" i="6"/>
  <c r="C6" i="6"/>
  <c r="N5" i="6"/>
  <c r="M5" i="6"/>
  <c r="K5" i="6"/>
  <c r="I5" i="6"/>
  <c r="H5" i="6"/>
  <c r="C5" i="6"/>
  <c r="F4" i="6"/>
  <c r="E4" i="6"/>
  <c r="N3" i="6"/>
  <c r="L3" i="6"/>
  <c r="I3" i="6"/>
  <c r="N90" i="6"/>
  <c r="M90" i="6"/>
  <c r="L90" i="6"/>
  <c r="K90" i="6"/>
  <c r="J90" i="6"/>
  <c r="I90" i="6"/>
  <c r="H90" i="6"/>
  <c r="G90" i="6"/>
  <c r="F90" i="6"/>
  <c r="E90" i="6"/>
  <c r="C90" i="6"/>
  <c r="N88" i="6"/>
  <c r="M88" i="6"/>
  <c r="L88" i="6"/>
  <c r="K88" i="6"/>
  <c r="J88" i="6"/>
  <c r="I88" i="6"/>
  <c r="H88" i="6"/>
  <c r="G88" i="6"/>
  <c r="F88" i="6"/>
  <c r="E88" i="6"/>
  <c r="C88" i="6"/>
  <c r="N87" i="6"/>
  <c r="M87" i="6"/>
  <c r="L87" i="6"/>
  <c r="K87" i="6"/>
  <c r="J87" i="6"/>
  <c r="I87" i="6"/>
  <c r="H87" i="6"/>
  <c r="G87" i="6"/>
  <c r="F87" i="6"/>
  <c r="E87" i="6"/>
  <c r="C87" i="6"/>
  <c r="C83" i="6"/>
  <c r="N81" i="6"/>
  <c r="M81" i="6"/>
  <c r="L81" i="6"/>
  <c r="K81" i="6"/>
  <c r="J81" i="6"/>
  <c r="I81" i="6"/>
  <c r="H81" i="6"/>
  <c r="G81" i="6"/>
  <c r="F81" i="6"/>
  <c r="E81" i="6"/>
  <c r="C81" i="6"/>
  <c r="N32" i="6"/>
  <c r="N64" i="6" s="1"/>
  <c r="M32" i="6"/>
  <c r="M64" i="6" s="1"/>
  <c r="L32" i="6"/>
  <c r="L64" i="6" s="1"/>
  <c r="K32" i="6"/>
  <c r="K64" i="6" s="1"/>
  <c r="J32" i="6"/>
  <c r="J64" i="6" s="1"/>
  <c r="N31" i="6"/>
  <c r="L31" i="6"/>
  <c r="K31" i="6"/>
  <c r="I31" i="6"/>
  <c r="G31" i="6"/>
  <c r="M30" i="6"/>
  <c r="L30" i="6"/>
  <c r="K30" i="6"/>
  <c r="H19" i="3" s="1"/>
  <c r="J30" i="6"/>
  <c r="G19" i="3" s="1"/>
  <c r="F30" i="6"/>
  <c r="F33" i="4" s="1"/>
  <c r="M29" i="6"/>
  <c r="L29" i="6"/>
  <c r="I20" i="3" s="1"/>
  <c r="K29" i="6"/>
  <c r="I29" i="6"/>
  <c r="F20" i="3" s="1"/>
  <c r="G29" i="6"/>
  <c r="F29" i="6"/>
  <c r="C20" i="3" s="1"/>
  <c r="E29" i="6"/>
  <c r="N28" i="6"/>
  <c r="M28" i="6"/>
  <c r="K28" i="6"/>
  <c r="H21" i="3" s="1"/>
  <c r="J28" i="6"/>
  <c r="E28" i="6"/>
  <c r="B21" i="3" s="1"/>
  <c r="M24" i="6"/>
  <c r="J24" i="6"/>
  <c r="G24" i="6"/>
  <c r="E24" i="6"/>
  <c r="L23" i="6"/>
  <c r="K23" i="6"/>
  <c r="I23" i="6"/>
  <c r="G23" i="6"/>
  <c r="F23" i="6"/>
  <c r="N21" i="6"/>
  <c r="M21" i="6"/>
  <c r="K21" i="6"/>
  <c r="I21" i="6"/>
  <c r="E21" i="6"/>
  <c r="N20" i="6"/>
  <c r="L20" i="6"/>
  <c r="J20" i="6"/>
  <c r="C20" i="6"/>
  <c r="M14" i="6"/>
  <c r="L14" i="6"/>
  <c r="J14" i="6"/>
  <c r="G14" i="6"/>
  <c r="F14" i="6"/>
  <c r="E14" i="6"/>
  <c r="N13" i="6"/>
  <c r="N46" i="6" s="1"/>
  <c r="L13" i="6"/>
  <c r="L46" i="6" s="1"/>
  <c r="J13" i="6"/>
  <c r="J46" i="6" s="1"/>
  <c r="F13" i="6"/>
  <c r="F46" i="6" s="1"/>
  <c r="E13" i="6"/>
  <c r="M7" i="6"/>
  <c r="K7" i="6"/>
  <c r="G7" i="6"/>
  <c r="M6" i="6"/>
  <c r="L6" i="6"/>
  <c r="G6" i="6"/>
  <c r="E6" i="6"/>
  <c r="L5" i="6"/>
  <c r="G5" i="6"/>
  <c r="F5" i="6"/>
  <c r="F3" i="6"/>
  <c r="E3" i="6"/>
  <c r="K107" i="5"/>
  <c r="J107" i="5"/>
  <c r="I107" i="5"/>
  <c r="H107" i="5"/>
  <c r="G107" i="5"/>
  <c r="F107" i="5"/>
  <c r="E107" i="5"/>
  <c r="D107" i="5"/>
  <c r="C107" i="5"/>
  <c r="B107" i="5"/>
  <c r="K101" i="5"/>
  <c r="J101" i="5"/>
  <c r="I101" i="5"/>
  <c r="H101" i="5"/>
  <c r="G101" i="5"/>
  <c r="F101" i="5"/>
  <c r="E101" i="5"/>
  <c r="D101" i="5"/>
  <c r="C101" i="5"/>
  <c r="B101" i="5"/>
  <c r="K95" i="5"/>
  <c r="K109" i="5" s="1"/>
  <c r="J95" i="5"/>
  <c r="J109" i="5" s="1"/>
  <c r="I95" i="5"/>
  <c r="H95" i="5"/>
  <c r="G95" i="5"/>
  <c r="F95" i="5"/>
  <c r="E95" i="5"/>
  <c r="D95" i="5"/>
  <c r="C95" i="5"/>
  <c r="B95" i="5"/>
  <c r="K85" i="5"/>
  <c r="J85" i="5"/>
  <c r="I85" i="5"/>
  <c r="H85" i="5"/>
  <c r="G85" i="5"/>
  <c r="F85" i="5"/>
  <c r="E85" i="5"/>
  <c r="D85" i="5"/>
  <c r="C85" i="5"/>
  <c r="B85" i="5"/>
  <c r="K79" i="5"/>
  <c r="J79" i="5"/>
  <c r="I79" i="5"/>
  <c r="H79" i="5"/>
  <c r="G79" i="5"/>
  <c r="F79" i="5"/>
  <c r="E79" i="5"/>
  <c r="D79" i="5"/>
  <c r="C79" i="5"/>
  <c r="B79" i="5"/>
  <c r="K68" i="5"/>
  <c r="J68" i="5"/>
  <c r="I68" i="5"/>
  <c r="H68" i="5"/>
  <c r="G68" i="5"/>
  <c r="F68" i="5"/>
  <c r="E68" i="5"/>
  <c r="D68" i="5"/>
  <c r="C68" i="5"/>
  <c r="B68" i="5"/>
  <c r="K58" i="5"/>
  <c r="K60" i="5" s="1"/>
  <c r="J58" i="5"/>
  <c r="I58" i="5"/>
  <c r="H58" i="5"/>
  <c r="G58" i="5"/>
  <c r="F58" i="5"/>
  <c r="E58" i="5"/>
  <c r="D58" i="5"/>
  <c r="C58" i="5"/>
  <c r="B58" i="5"/>
  <c r="K46" i="5"/>
  <c r="J46" i="5"/>
  <c r="I46" i="5"/>
  <c r="H46" i="5"/>
  <c r="G46" i="5"/>
  <c r="F46" i="5"/>
  <c r="F60" i="5" s="1"/>
  <c r="E46" i="5"/>
  <c r="D46" i="5"/>
  <c r="C46" i="5"/>
  <c r="B46" i="5"/>
  <c r="K36" i="5"/>
  <c r="J36" i="5"/>
  <c r="I36" i="5"/>
  <c r="H36" i="5"/>
  <c r="G36" i="5"/>
  <c r="F36" i="5"/>
  <c r="E36" i="5"/>
  <c r="D36" i="5"/>
  <c r="C36" i="5"/>
  <c r="B36" i="5"/>
  <c r="D28" i="5"/>
  <c r="F28" i="5"/>
  <c r="I26" i="5"/>
  <c r="K18" i="5"/>
  <c r="J18" i="5"/>
  <c r="I18" i="5"/>
  <c r="H18" i="5"/>
  <c r="G18" i="5"/>
  <c r="F18" i="5"/>
  <c r="E18" i="5"/>
  <c r="D18" i="5"/>
  <c r="C18" i="5"/>
  <c r="B18" i="5"/>
  <c r="K17" i="5"/>
  <c r="J17" i="5"/>
  <c r="I17" i="5"/>
  <c r="H17" i="5"/>
  <c r="G17" i="5"/>
  <c r="F17" i="5"/>
  <c r="E17" i="5"/>
  <c r="D17" i="5"/>
  <c r="C17" i="5"/>
  <c r="B17" i="5"/>
  <c r="K16" i="5"/>
  <c r="J16" i="5"/>
  <c r="I16" i="5"/>
  <c r="H16" i="5"/>
  <c r="G16" i="5"/>
  <c r="F16" i="5"/>
  <c r="E16" i="5"/>
  <c r="D16" i="5"/>
  <c r="C16" i="5"/>
  <c r="B16" i="5"/>
  <c r="K12" i="5"/>
  <c r="J12" i="5"/>
  <c r="I12" i="5"/>
  <c r="H12" i="5"/>
  <c r="G12" i="5"/>
  <c r="C12" i="5"/>
  <c r="B12" i="5"/>
  <c r="K11" i="5"/>
  <c r="J11" i="5"/>
  <c r="I11" i="5"/>
  <c r="H11" i="5"/>
  <c r="F11" i="5"/>
  <c r="E11" i="5"/>
  <c r="D11" i="5"/>
  <c r="C11" i="5"/>
  <c r="B11" i="5"/>
  <c r="K10" i="5"/>
  <c r="J10" i="5"/>
  <c r="I10" i="5"/>
  <c r="H10" i="5"/>
  <c r="G10" i="5"/>
  <c r="E10" i="5"/>
  <c r="C10" i="5"/>
  <c r="B10" i="5"/>
  <c r="K6" i="5"/>
  <c r="I6" i="5"/>
  <c r="H6" i="5"/>
  <c r="G6" i="5"/>
  <c r="E6" i="5"/>
  <c r="C6" i="5"/>
  <c r="B6" i="5"/>
  <c r="J5" i="5"/>
  <c r="I5" i="5"/>
  <c r="H5" i="5"/>
  <c r="E5" i="5"/>
  <c r="D5" i="5"/>
  <c r="C5" i="5"/>
  <c r="I4" i="5"/>
  <c r="H4" i="5"/>
  <c r="G4" i="5"/>
  <c r="F4" i="5"/>
  <c r="E4" i="5"/>
  <c r="C4" i="5"/>
  <c r="K33" i="4"/>
  <c r="J33" i="4"/>
  <c r="L12" i="4"/>
  <c r="H12" i="4"/>
  <c r="G12" i="4"/>
  <c r="K30" i="3"/>
  <c r="J30" i="3"/>
  <c r="I30" i="3"/>
  <c r="H30" i="3"/>
  <c r="G30" i="3"/>
  <c r="F30" i="3"/>
  <c r="E30" i="3"/>
  <c r="D30" i="3"/>
  <c r="C30" i="3"/>
  <c r="B30" i="3"/>
  <c r="C12" i="4"/>
  <c r="N12" i="4"/>
  <c r="M12" i="4"/>
  <c r="K12" i="4"/>
  <c r="J12" i="4"/>
  <c r="I12" i="4"/>
  <c r="F12" i="4"/>
  <c r="E12" i="4"/>
  <c r="K6" i="4"/>
  <c r="H6" i="4"/>
  <c r="G6" i="4"/>
  <c r="E6" i="4"/>
  <c r="M5" i="4"/>
  <c r="F5" i="4"/>
  <c r="E5" i="4"/>
  <c r="J4" i="4"/>
  <c r="H10" i="4"/>
  <c r="C52" i="9"/>
  <c r="N52" i="9"/>
  <c r="M52" i="9"/>
  <c r="L52" i="9"/>
  <c r="K52" i="9"/>
  <c r="J52" i="9"/>
  <c r="I52" i="9"/>
  <c r="H52" i="9"/>
  <c r="G52" i="9"/>
  <c r="F52" i="9"/>
  <c r="E52" i="9"/>
  <c r="C52" i="8"/>
  <c r="N52" i="8"/>
  <c r="M52" i="8"/>
  <c r="L52" i="8"/>
  <c r="K52" i="8"/>
  <c r="J52" i="8"/>
  <c r="I52" i="8"/>
  <c r="H52" i="8"/>
  <c r="G52" i="8"/>
  <c r="F52" i="8"/>
  <c r="E52" i="8"/>
  <c r="C52" i="7"/>
  <c r="N52" i="7"/>
  <c r="M52" i="7"/>
  <c r="L52" i="7"/>
  <c r="K52" i="7"/>
  <c r="J52" i="7"/>
  <c r="I52" i="7"/>
  <c r="H52" i="7"/>
  <c r="G52" i="7"/>
  <c r="F52" i="7"/>
  <c r="E52" i="7"/>
  <c r="C47" i="9"/>
  <c r="N47" i="9"/>
  <c r="M47" i="9"/>
  <c r="L47" i="9"/>
  <c r="K47" i="9"/>
  <c r="J47" i="9"/>
  <c r="I47" i="9"/>
  <c r="H47" i="9"/>
  <c r="G47" i="9"/>
  <c r="F47" i="9"/>
  <c r="E47" i="9"/>
  <c r="C47" i="8"/>
  <c r="N47" i="8"/>
  <c r="M47" i="8"/>
  <c r="L47" i="8"/>
  <c r="K47" i="8"/>
  <c r="J47" i="8"/>
  <c r="I47" i="8"/>
  <c r="H47" i="8"/>
  <c r="G47" i="8"/>
  <c r="F47" i="8"/>
  <c r="E47" i="8"/>
  <c r="C47" i="7"/>
  <c r="N47" i="7"/>
  <c r="M47" i="7"/>
  <c r="L47" i="7"/>
  <c r="K47" i="7"/>
  <c r="J47" i="7"/>
  <c r="I47" i="7"/>
  <c r="H47" i="7"/>
  <c r="G47" i="7"/>
  <c r="F47" i="7"/>
  <c r="E47" i="7"/>
  <c r="F12" i="1"/>
  <c r="F62" i="4"/>
  <c r="C15" i="3" s="1"/>
  <c r="C89" i="9"/>
  <c r="C89" i="8"/>
  <c r="C89" i="7"/>
  <c r="C91" i="7" s="1"/>
  <c r="C80" i="9"/>
  <c r="C80" i="8"/>
  <c r="C80" i="7"/>
  <c r="F8" i="1"/>
  <c r="C82" i="9"/>
  <c r="C82" i="8"/>
  <c r="C82" i="7"/>
  <c r="F6" i="1"/>
  <c r="I109" i="5" l="1"/>
  <c r="C60" i="5"/>
  <c r="D60" i="5"/>
  <c r="I87" i="5"/>
  <c r="K87" i="5"/>
  <c r="I60" i="5"/>
  <c r="B109" i="5"/>
  <c r="E109" i="5"/>
  <c r="J60" i="5"/>
  <c r="F109" i="5"/>
  <c r="G87" i="5"/>
  <c r="H13" i="5"/>
  <c r="H109" i="5"/>
  <c r="C87" i="5"/>
  <c r="H7" i="5"/>
  <c r="B87" i="5"/>
  <c r="F87" i="5"/>
  <c r="C109" i="5"/>
  <c r="B60" i="5"/>
  <c r="E60" i="5"/>
  <c r="D109" i="5"/>
  <c r="H19" i="5"/>
  <c r="C19" i="5"/>
  <c r="F47" i="6"/>
  <c r="C22" i="3" s="1"/>
  <c r="G13" i="5"/>
  <c r="B13" i="5"/>
  <c r="C13" i="5"/>
  <c r="C19" i="3"/>
  <c r="N6" i="4"/>
  <c r="L4" i="6"/>
  <c r="L16" i="4" s="1"/>
  <c r="L5" i="4"/>
  <c r="E4" i="4"/>
  <c r="G5" i="4"/>
  <c r="I6" i="4"/>
  <c r="J6" i="4"/>
  <c r="L6" i="4"/>
  <c r="J5" i="4"/>
  <c r="F6" i="4"/>
  <c r="C5" i="4"/>
  <c r="G4" i="6"/>
  <c r="F8" i="9"/>
  <c r="F40" i="9" s="1"/>
  <c r="H4" i="6"/>
  <c r="I4" i="4"/>
  <c r="C30" i="6"/>
  <c r="C33" i="4" s="1"/>
  <c r="N5" i="4"/>
  <c r="M4" i="6"/>
  <c r="N4" i="6"/>
  <c r="N8" i="6" s="1"/>
  <c r="C6" i="4"/>
  <c r="K5" i="4"/>
  <c r="M6" i="4"/>
  <c r="E8" i="8"/>
  <c r="K41" i="7"/>
  <c r="K33" i="7"/>
  <c r="F4" i="1"/>
  <c r="C10" i="4" s="1"/>
  <c r="C44" i="4"/>
  <c r="M52" i="6"/>
  <c r="H28" i="5"/>
  <c r="E8" i="7"/>
  <c r="E40" i="7" s="1"/>
  <c r="L41" i="7"/>
  <c r="C65" i="7"/>
  <c r="C66" i="7" s="1"/>
  <c r="G41" i="9"/>
  <c r="L33" i="9"/>
  <c r="L8" i="8"/>
  <c r="L40" i="8" s="1"/>
  <c r="E26" i="5"/>
  <c r="I64" i="9"/>
  <c r="I66" i="9" s="1"/>
  <c r="C31" i="6"/>
  <c r="E33" i="8"/>
  <c r="I20" i="6"/>
  <c r="I41" i="6" s="1"/>
  <c r="L24" i="6"/>
  <c r="E52" i="6"/>
  <c r="L21" i="6"/>
  <c r="M23" i="6"/>
  <c r="N24" i="6"/>
  <c r="N41" i="6" s="1"/>
  <c r="F33" i="8"/>
  <c r="P14" i="8"/>
  <c r="M41" i="8"/>
  <c r="H47" i="6"/>
  <c r="E22" i="3" s="1"/>
  <c r="H41" i="7"/>
  <c r="H5" i="4"/>
  <c r="I4" i="6"/>
  <c r="I16" i="4" s="1"/>
  <c r="K6" i="6"/>
  <c r="K52" i="6"/>
  <c r="K33" i="8"/>
  <c r="J33" i="9"/>
  <c r="M8" i="7"/>
  <c r="M40" i="7" s="1"/>
  <c r="M33" i="7"/>
  <c r="M46" i="7"/>
  <c r="C32" i="6"/>
  <c r="C64" i="6" s="1"/>
  <c r="N4" i="4"/>
  <c r="F6" i="6"/>
  <c r="F8" i="6" s="1"/>
  <c r="C4" i="6"/>
  <c r="G41" i="7"/>
  <c r="C8" i="9"/>
  <c r="C40" i="9" s="1"/>
  <c r="C42" i="9" s="1"/>
  <c r="J52" i="6"/>
  <c r="L52" i="6"/>
  <c r="L4" i="4"/>
  <c r="K14" i="6"/>
  <c r="F41" i="7"/>
  <c r="K4" i="6"/>
  <c r="P32" i="8"/>
  <c r="F7" i="1"/>
  <c r="M10" i="4"/>
  <c r="G21" i="6"/>
  <c r="G13" i="6"/>
  <c r="G46" i="6" s="1"/>
  <c r="H14" i="6"/>
  <c r="J21" i="6"/>
  <c r="G8" i="8"/>
  <c r="C65" i="9"/>
  <c r="C66" i="9" s="1"/>
  <c r="F8" i="7"/>
  <c r="F40" i="7" s="1"/>
  <c r="F42" i="7" s="1"/>
  <c r="P13" i="8"/>
  <c r="H31" i="6"/>
  <c r="J66" i="9"/>
  <c r="B28" i="5"/>
  <c r="E5" i="6"/>
  <c r="G4" i="4"/>
  <c r="C14" i="6"/>
  <c r="J10" i="4"/>
  <c r="C80" i="6"/>
  <c r="C52" i="4" s="1"/>
  <c r="C29" i="1"/>
  <c r="N52" i="6"/>
  <c r="O40" i="1"/>
  <c r="C28" i="5"/>
  <c r="J5" i="6"/>
  <c r="I41" i="9"/>
  <c r="G47" i="6"/>
  <c r="G39" i="4" s="1"/>
  <c r="F13" i="1"/>
  <c r="K13" i="6"/>
  <c r="K46" i="6" s="1"/>
  <c r="J31" i="6"/>
  <c r="H46" i="7"/>
  <c r="P31" i="9"/>
  <c r="F9" i="1"/>
  <c r="E62" i="4"/>
  <c r="B15" i="3" s="1"/>
  <c r="M3" i="6"/>
  <c r="N41" i="7"/>
  <c r="C8" i="8"/>
  <c r="C40" i="8" s="1"/>
  <c r="C42" i="8" s="1"/>
  <c r="P7" i="8"/>
  <c r="H8" i="9"/>
  <c r="H40" i="9" s="1"/>
  <c r="C8" i="7"/>
  <c r="C40" i="7" s="1"/>
  <c r="I7" i="6"/>
  <c r="P14" i="9"/>
  <c r="E19" i="5"/>
  <c r="F19" i="5"/>
  <c r="G19" i="5"/>
  <c r="D19" i="5"/>
  <c r="L66" i="9"/>
  <c r="L33" i="4"/>
  <c r="I19" i="3"/>
  <c r="I13" i="5"/>
  <c r="B20" i="3"/>
  <c r="J13" i="5"/>
  <c r="C7" i="5"/>
  <c r="E7" i="5"/>
  <c r="K47" i="6"/>
  <c r="E7" i="4"/>
  <c r="J19" i="3"/>
  <c r="M33" i="4"/>
  <c r="C47" i="6"/>
  <c r="G10" i="4"/>
  <c r="N10" i="4"/>
  <c r="P30" i="7"/>
  <c r="N47" i="6"/>
  <c r="I27" i="5"/>
  <c r="I28" i="5" s="1"/>
  <c r="G28" i="5"/>
  <c r="E47" i="6"/>
  <c r="C62" i="4"/>
  <c r="L62" i="4"/>
  <c r="I15" i="3" s="1"/>
  <c r="H62" i="4"/>
  <c r="E15" i="3" s="1"/>
  <c r="N62" i="4"/>
  <c r="K15" i="3" s="1"/>
  <c r="M62" i="4"/>
  <c r="J15" i="3" s="1"/>
  <c r="K62" i="4"/>
  <c r="H15" i="3" s="1"/>
  <c r="J62" i="4"/>
  <c r="G15" i="3" s="1"/>
  <c r="I62" i="4"/>
  <c r="F15" i="3" s="1"/>
  <c r="J7" i="4"/>
  <c r="F41" i="6"/>
  <c r="F39" i="4"/>
  <c r="F34" i="4"/>
  <c r="F35" i="4" s="1"/>
  <c r="F19" i="3"/>
  <c r="I33" i="4"/>
  <c r="E46" i="6"/>
  <c r="H24" i="6"/>
  <c r="P24" i="8"/>
  <c r="I33" i="8"/>
  <c r="I65" i="8"/>
  <c r="I66" i="8" s="1"/>
  <c r="F10" i="5"/>
  <c r="I28" i="6"/>
  <c r="J65" i="8"/>
  <c r="J66" i="8" s="1"/>
  <c r="J33" i="8"/>
  <c r="L47" i="6"/>
  <c r="C52" i="6"/>
  <c r="D87" i="5"/>
  <c r="H20" i="3"/>
  <c r="G3" i="6"/>
  <c r="G8" i="7"/>
  <c r="P14" i="7"/>
  <c r="M47" i="6"/>
  <c r="C76" i="6"/>
  <c r="F52" i="6"/>
  <c r="E8" i="6"/>
  <c r="E16" i="4"/>
  <c r="O39" i="1"/>
  <c r="C28" i="1" s="1"/>
  <c r="O41" i="1"/>
  <c r="C30" i="1" s="1"/>
  <c r="F5" i="1"/>
  <c r="K10" i="4"/>
  <c r="K38" i="4"/>
  <c r="K65" i="6"/>
  <c r="K66" i="6" s="1"/>
  <c r="K33" i="6"/>
  <c r="E30" i="6"/>
  <c r="E65" i="6" s="1"/>
  <c r="C91" i="9"/>
  <c r="G62" i="4"/>
  <c r="D15" i="3" s="1"/>
  <c r="I46" i="7"/>
  <c r="I13" i="6"/>
  <c r="I46" i="6" s="1"/>
  <c r="E82" i="7"/>
  <c r="C82" i="6"/>
  <c r="F10" i="1"/>
  <c r="G52" i="6"/>
  <c r="F16" i="4"/>
  <c r="G21" i="3"/>
  <c r="K8" i="7"/>
  <c r="K3" i="6"/>
  <c r="K4" i="4"/>
  <c r="K7" i="4" s="1"/>
  <c r="E82" i="8"/>
  <c r="H52" i="6"/>
  <c r="E10" i="4"/>
  <c r="E82" i="9"/>
  <c r="I52" i="6"/>
  <c r="F10" i="4"/>
  <c r="C38" i="3"/>
  <c r="F4" i="4"/>
  <c r="F7" i="4" s="1"/>
  <c r="L10" i="4"/>
  <c r="E27" i="5"/>
  <c r="J21" i="3"/>
  <c r="M65" i="6"/>
  <c r="M66" i="6" s="1"/>
  <c r="M33" i="6"/>
  <c r="M38" i="4"/>
  <c r="M41" i="7"/>
  <c r="M20" i="6"/>
  <c r="H3" i="6"/>
  <c r="H8" i="7"/>
  <c r="H4" i="4"/>
  <c r="H7" i="4" s="1"/>
  <c r="N30" i="6"/>
  <c r="J8" i="8"/>
  <c r="J3" i="6"/>
  <c r="G41" i="8"/>
  <c r="P20" i="8"/>
  <c r="G20" i="6"/>
  <c r="H21" i="6"/>
  <c r="H41" i="8"/>
  <c r="H23" i="6"/>
  <c r="P23" i="8"/>
  <c r="J8" i="7"/>
  <c r="J4" i="6"/>
  <c r="M65" i="7"/>
  <c r="M66" i="7" s="1"/>
  <c r="N29" i="6"/>
  <c r="K5" i="5"/>
  <c r="P32" i="7"/>
  <c r="E32" i="6"/>
  <c r="K8" i="8"/>
  <c r="G40" i="8"/>
  <c r="P23" i="7"/>
  <c r="E23" i="6"/>
  <c r="E41" i="7"/>
  <c r="I10" i="4"/>
  <c r="D20" i="3"/>
  <c r="I19" i="5"/>
  <c r="K19" i="5"/>
  <c r="I47" i="6"/>
  <c r="P7" i="7"/>
  <c r="P13" i="7"/>
  <c r="P28" i="7"/>
  <c r="B4" i="5"/>
  <c r="E33" i="7"/>
  <c r="D6" i="5"/>
  <c r="G46" i="7"/>
  <c r="K21" i="3"/>
  <c r="M4" i="4"/>
  <c r="M7" i="4" s="1"/>
  <c r="I7" i="5"/>
  <c r="J19" i="5"/>
  <c r="H60" i="5"/>
  <c r="G30" i="6"/>
  <c r="F33" i="7"/>
  <c r="F28" i="6"/>
  <c r="C84" i="7"/>
  <c r="C93" i="7" s="1"/>
  <c r="C84" i="9"/>
  <c r="C76" i="9"/>
  <c r="J47" i="6"/>
  <c r="J4" i="5"/>
  <c r="J7" i="5" s="1"/>
  <c r="H87" i="5"/>
  <c r="J87" i="5"/>
  <c r="C89" i="6"/>
  <c r="P5" i="7"/>
  <c r="D4" i="5"/>
  <c r="G65" i="7"/>
  <c r="G66" i="7" s="1"/>
  <c r="G28" i="6"/>
  <c r="E65" i="7"/>
  <c r="E66" i="7" s="1"/>
  <c r="C76" i="8"/>
  <c r="C84" i="8"/>
  <c r="I65" i="7"/>
  <c r="I66" i="7" s="1"/>
  <c r="K20" i="6"/>
  <c r="J41" i="7"/>
  <c r="J23" i="6"/>
  <c r="J41" i="6" s="1"/>
  <c r="G5" i="5"/>
  <c r="G7" i="5" s="1"/>
  <c r="J29" i="6"/>
  <c r="J33" i="7"/>
  <c r="C76" i="7"/>
  <c r="G65" i="8"/>
  <c r="G66" i="8" s="1"/>
  <c r="P28" i="8"/>
  <c r="G33" i="8"/>
  <c r="D10" i="5"/>
  <c r="H29" i="6"/>
  <c r="F12" i="5"/>
  <c r="C91" i="8"/>
  <c r="J20" i="3"/>
  <c r="K13" i="5"/>
  <c r="B19" i="5"/>
  <c r="I41" i="7"/>
  <c r="N33" i="7"/>
  <c r="K4" i="5"/>
  <c r="P31" i="7"/>
  <c r="P29" i="8"/>
  <c r="H30" i="6"/>
  <c r="E12" i="5"/>
  <c r="E13" i="5" s="1"/>
  <c r="G60" i="5"/>
  <c r="E87" i="5"/>
  <c r="N65" i="7"/>
  <c r="N66" i="7" s="1"/>
  <c r="J41" i="8"/>
  <c r="L33" i="8"/>
  <c r="L28" i="6"/>
  <c r="L65" i="8"/>
  <c r="L66" i="8" s="1"/>
  <c r="P4" i="8"/>
  <c r="C13" i="6"/>
  <c r="C46" i="6" s="1"/>
  <c r="C46" i="8"/>
  <c r="G109" i="5"/>
  <c r="C3" i="6"/>
  <c r="C4" i="4"/>
  <c r="P4" i="7"/>
  <c r="H7" i="6"/>
  <c r="J65" i="7"/>
  <c r="J66" i="7" s="1"/>
  <c r="F83" i="7"/>
  <c r="H8" i="8"/>
  <c r="P3" i="8"/>
  <c r="I5" i="4"/>
  <c r="I7" i="4" s="1"/>
  <c r="C29" i="6"/>
  <c r="P3" i="7"/>
  <c r="H6" i="6"/>
  <c r="C41" i="7"/>
  <c r="C23" i="6"/>
  <c r="P24" i="7"/>
  <c r="I8" i="8"/>
  <c r="P21" i="8"/>
  <c r="P20" i="7"/>
  <c r="P29" i="7"/>
  <c r="B5" i="5"/>
  <c r="P6" i="8"/>
  <c r="J6" i="5"/>
  <c r="P6" i="7"/>
  <c r="F5" i="5"/>
  <c r="F7" i="5" s="1"/>
  <c r="P5" i="8"/>
  <c r="C21" i="6"/>
  <c r="P31" i="8"/>
  <c r="H83" i="8"/>
  <c r="I83" i="8" s="1"/>
  <c r="J83" i="8" s="1"/>
  <c r="K83" i="8" s="1"/>
  <c r="L83" i="8" s="1"/>
  <c r="M83" i="8" s="1"/>
  <c r="N83" i="8" s="1"/>
  <c r="P30" i="8"/>
  <c r="E96" i="8"/>
  <c r="H41" i="9"/>
  <c r="E96" i="9"/>
  <c r="C65" i="8"/>
  <c r="C66" i="8" s="1"/>
  <c r="E8" i="9"/>
  <c r="C28" i="6"/>
  <c r="N8" i="7"/>
  <c r="E96" i="7"/>
  <c r="N8" i="8"/>
  <c r="P7" i="9"/>
  <c r="I41" i="8"/>
  <c r="C33" i="8"/>
  <c r="K41" i="8"/>
  <c r="H65" i="8"/>
  <c r="H66" i="8" s="1"/>
  <c r="P6" i="9"/>
  <c r="E40" i="8"/>
  <c r="H33" i="8"/>
  <c r="D12" i="5"/>
  <c r="H20" i="6"/>
  <c r="H28" i="6"/>
  <c r="H32" i="6"/>
  <c r="H64" i="6" s="1"/>
  <c r="L41" i="8"/>
  <c r="I8" i="7"/>
  <c r="C33" i="7"/>
  <c r="F41" i="9"/>
  <c r="F42" i="9" s="1"/>
  <c r="H65" i="9"/>
  <c r="H66" i="9" s="1"/>
  <c r="H33" i="9"/>
  <c r="H66" i="7"/>
  <c r="H33" i="7"/>
  <c r="P23" i="9"/>
  <c r="F65" i="9"/>
  <c r="F66" i="9" s="1"/>
  <c r="F33" i="9"/>
  <c r="L8" i="7"/>
  <c r="E66" i="9"/>
  <c r="E83" i="9"/>
  <c r="F83" i="9" s="1"/>
  <c r="G83" i="9" s="1"/>
  <c r="H83" i="9" s="1"/>
  <c r="I83" i="9" s="1"/>
  <c r="J83" i="9" s="1"/>
  <c r="K83" i="9" s="1"/>
  <c r="L83" i="9" s="1"/>
  <c r="M83" i="9" s="1"/>
  <c r="N83" i="9" s="1"/>
  <c r="P4" i="9"/>
  <c r="M8" i="8"/>
  <c r="M33" i="8"/>
  <c r="N41" i="8"/>
  <c r="N65" i="8"/>
  <c r="N66" i="8" s="1"/>
  <c r="P3" i="9"/>
  <c r="F8" i="8"/>
  <c r="P21" i="9"/>
  <c r="P24" i="9"/>
  <c r="P13" i="9"/>
  <c r="P20" i="9"/>
  <c r="P28" i="9"/>
  <c r="P29" i="9"/>
  <c r="P30" i="9"/>
  <c r="P32" i="9"/>
  <c r="C41" i="9"/>
  <c r="G65" i="9"/>
  <c r="G66" i="9" s="1"/>
  <c r="C33" i="9"/>
  <c r="E41" i="9"/>
  <c r="E33" i="9"/>
  <c r="G8" i="9"/>
  <c r="I8" i="9"/>
  <c r="J41" i="9"/>
  <c r="M65" i="9"/>
  <c r="M66" i="9" s="1"/>
  <c r="J8" i="9"/>
  <c r="K41" i="9"/>
  <c r="N65" i="9"/>
  <c r="N66" i="9" s="1"/>
  <c r="K8" i="9"/>
  <c r="L41" i="9"/>
  <c r="L8" i="9"/>
  <c r="M41" i="9"/>
  <c r="M8" i="9"/>
  <c r="N41" i="9"/>
  <c r="N8" i="9"/>
  <c r="H21" i="5" l="1"/>
  <c r="D7" i="5"/>
  <c r="C21" i="5"/>
  <c r="E28" i="5"/>
  <c r="P14" i="6"/>
  <c r="J33" i="6"/>
  <c r="P31" i="6"/>
  <c r="H34" i="4"/>
  <c r="P7" i="6"/>
  <c r="C93" i="9"/>
  <c r="D13" i="5"/>
  <c r="P21" i="6"/>
  <c r="L8" i="6"/>
  <c r="L40" i="6" s="1"/>
  <c r="L7" i="4"/>
  <c r="M8" i="4" s="1"/>
  <c r="C7" i="4"/>
  <c r="C13" i="4" s="1"/>
  <c r="G7" i="4"/>
  <c r="G13" i="4" s="1"/>
  <c r="L41" i="6"/>
  <c r="D22" i="3"/>
  <c r="P6" i="6"/>
  <c r="P24" i="6"/>
  <c r="H39" i="4"/>
  <c r="N16" i="4"/>
  <c r="I8" i="6"/>
  <c r="I40" i="6" s="1"/>
  <c r="H42" i="9"/>
  <c r="M42" i="7"/>
  <c r="N7" i="4"/>
  <c r="N13" i="4" s="1"/>
  <c r="D38" i="3"/>
  <c r="G34" i="4"/>
  <c r="P4" i="6"/>
  <c r="E38" i="3"/>
  <c r="P8" i="8"/>
  <c r="P13" i="6"/>
  <c r="P5" i="6"/>
  <c r="M8" i="6"/>
  <c r="M40" i="6" s="1"/>
  <c r="M16" i="4"/>
  <c r="P23" i="6"/>
  <c r="C42" i="7"/>
  <c r="N38" i="4"/>
  <c r="P28" i="6"/>
  <c r="E21" i="5"/>
  <c r="G21" i="5"/>
  <c r="J34" i="4"/>
  <c r="J35" i="4" s="1"/>
  <c r="G38" i="3"/>
  <c r="J39" i="4"/>
  <c r="G22" i="3"/>
  <c r="K40" i="7"/>
  <c r="C31" i="1"/>
  <c r="E44" i="4" s="1"/>
  <c r="E96" i="6"/>
  <c r="F96" i="7"/>
  <c r="P8" i="7"/>
  <c r="G83" i="7"/>
  <c r="F83" i="6"/>
  <c r="E42" i="7"/>
  <c r="N33" i="4"/>
  <c r="K19" i="3"/>
  <c r="C43" i="4"/>
  <c r="C45" i="4" s="1"/>
  <c r="C84" i="6"/>
  <c r="J38" i="3"/>
  <c r="J22" i="3"/>
  <c r="M39" i="4"/>
  <c r="M40" i="4" s="1"/>
  <c r="M34" i="4"/>
  <c r="M35" i="4" s="1"/>
  <c r="D19" i="3"/>
  <c r="G33" i="4"/>
  <c r="F22" i="3"/>
  <c r="I34" i="4"/>
  <c r="I35" i="4" s="1"/>
  <c r="F38" i="3"/>
  <c r="I39" i="4"/>
  <c r="N40" i="9"/>
  <c r="N40" i="7"/>
  <c r="H33" i="4"/>
  <c r="H35" i="4" s="1"/>
  <c r="E19" i="3"/>
  <c r="C93" i="8"/>
  <c r="E75" i="9"/>
  <c r="H13" i="4"/>
  <c r="F82" i="9"/>
  <c r="C36" i="1"/>
  <c r="C41" i="1" s="1"/>
  <c r="D30" i="1" s="1"/>
  <c r="E82" i="6"/>
  <c r="F82" i="7"/>
  <c r="C34" i="1"/>
  <c r="P30" i="6"/>
  <c r="E33" i="4"/>
  <c r="E33" i="6"/>
  <c r="E38" i="4"/>
  <c r="B19" i="3"/>
  <c r="L65" i="6"/>
  <c r="L66" i="6" s="1"/>
  <c r="L33" i="6"/>
  <c r="I21" i="3"/>
  <c r="L38" i="4"/>
  <c r="G20" i="3"/>
  <c r="E75" i="8"/>
  <c r="C97" i="9"/>
  <c r="J40" i="7"/>
  <c r="G41" i="6"/>
  <c r="H40" i="7"/>
  <c r="G40" i="7"/>
  <c r="L39" i="4"/>
  <c r="L34" i="4"/>
  <c r="L35" i="4" s="1"/>
  <c r="I38" i="3"/>
  <c r="I22" i="3"/>
  <c r="E13" i="4"/>
  <c r="F96" i="8"/>
  <c r="H41" i="6"/>
  <c r="F40" i="8"/>
  <c r="L40" i="7"/>
  <c r="C91" i="6"/>
  <c r="C51" i="4"/>
  <c r="C53" i="4" s="1"/>
  <c r="G42" i="8"/>
  <c r="H8" i="6"/>
  <c r="H16" i="4"/>
  <c r="G8" i="6"/>
  <c r="G16" i="4"/>
  <c r="G17" i="4" s="1"/>
  <c r="J40" i="9"/>
  <c r="C33" i="6"/>
  <c r="C65" i="6"/>
  <c r="C66" i="6" s="1"/>
  <c r="C38" i="4"/>
  <c r="M40" i="9"/>
  <c r="E40" i="9"/>
  <c r="K40" i="8"/>
  <c r="J38" i="4"/>
  <c r="C39" i="4"/>
  <c r="C34" i="4"/>
  <c r="C35" i="4" s="1"/>
  <c r="K40" i="9"/>
  <c r="P8" i="9"/>
  <c r="E42" i="8"/>
  <c r="P20" i="6"/>
  <c r="E40" i="6"/>
  <c r="E68" i="4"/>
  <c r="H33" i="6"/>
  <c r="H65" i="6"/>
  <c r="H66" i="6" s="1"/>
  <c r="H38" i="4"/>
  <c r="E21" i="3"/>
  <c r="E83" i="6"/>
  <c r="E75" i="7"/>
  <c r="E20" i="3"/>
  <c r="P29" i="6"/>
  <c r="M40" i="8"/>
  <c r="C97" i="7"/>
  <c r="B7" i="5"/>
  <c r="E41" i="6"/>
  <c r="J65" i="6"/>
  <c r="J66" i="6" s="1"/>
  <c r="L42" i="8"/>
  <c r="I40" i="9"/>
  <c r="P33" i="9"/>
  <c r="I40" i="7"/>
  <c r="F96" i="9"/>
  <c r="C8" i="6"/>
  <c r="C16" i="4"/>
  <c r="E17" i="4" s="1"/>
  <c r="P33" i="8"/>
  <c r="K41" i="6"/>
  <c r="N68" i="4"/>
  <c r="N40" i="6"/>
  <c r="F38" i="4"/>
  <c r="F40" i="4" s="1"/>
  <c r="F65" i="6"/>
  <c r="F66" i="6" s="1"/>
  <c r="F33" i="6"/>
  <c r="C21" i="3"/>
  <c r="I21" i="5"/>
  <c r="P33" i="7"/>
  <c r="P32" i="6"/>
  <c r="E64" i="6"/>
  <c r="E66" i="6" s="1"/>
  <c r="J16" i="4"/>
  <c r="J17" i="4" s="1"/>
  <c r="J8" i="6"/>
  <c r="F8" i="4"/>
  <c r="F13" i="4"/>
  <c r="F82" i="8"/>
  <c r="C35" i="1"/>
  <c r="C40" i="1" s="1"/>
  <c r="D29" i="1" s="1"/>
  <c r="F17" i="4"/>
  <c r="I33" i="6"/>
  <c r="I65" i="6"/>
  <c r="I66" i="6" s="1"/>
  <c r="I38" i="4"/>
  <c r="F21" i="3"/>
  <c r="H38" i="3"/>
  <c r="K34" i="4"/>
  <c r="K35" i="4" s="1"/>
  <c r="K39" i="4"/>
  <c r="K40" i="4" s="1"/>
  <c r="H22" i="3"/>
  <c r="I40" i="8"/>
  <c r="L40" i="9"/>
  <c r="G40" i="9"/>
  <c r="C41" i="6"/>
  <c r="I8" i="4"/>
  <c r="I13" i="4"/>
  <c r="K7" i="5"/>
  <c r="M13" i="4"/>
  <c r="J40" i="8"/>
  <c r="F40" i="6"/>
  <c r="F68" i="4"/>
  <c r="P3" i="6"/>
  <c r="F13" i="5"/>
  <c r="J13" i="4"/>
  <c r="J8" i="4"/>
  <c r="M41" i="6"/>
  <c r="J21" i="5"/>
  <c r="N40" i="8"/>
  <c r="H40" i="8"/>
  <c r="G65" i="6"/>
  <c r="G66" i="6" s="1"/>
  <c r="G33" i="6"/>
  <c r="G38" i="4"/>
  <c r="G40" i="4" s="1"/>
  <c r="D21" i="3"/>
  <c r="N33" i="6"/>
  <c r="N65" i="6"/>
  <c r="N66" i="6" s="1"/>
  <c r="K20" i="3"/>
  <c r="K13" i="4"/>
  <c r="K8" i="4"/>
  <c r="E75" i="6"/>
  <c r="E34" i="4"/>
  <c r="E39" i="4"/>
  <c r="B22" i="3"/>
  <c r="B38" i="3"/>
  <c r="N39" i="4"/>
  <c r="N34" i="4"/>
  <c r="K38" i="3"/>
  <c r="K22" i="3"/>
  <c r="K8" i="6"/>
  <c r="K16" i="4"/>
  <c r="D21" i="5" l="1"/>
  <c r="L68" i="4"/>
  <c r="E8" i="4"/>
  <c r="L13" i="4"/>
  <c r="H8" i="4"/>
  <c r="H40" i="4"/>
  <c r="L8" i="4"/>
  <c r="O8" i="4"/>
  <c r="G8" i="4"/>
  <c r="I68" i="4"/>
  <c r="N8" i="4"/>
  <c r="G35" i="4"/>
  <c r="P8" i="6"/>
  <c r="K17" i="4"/>
  <c r="M68" i="4"/>
  <c r="I40" i="4"/>
  <c r="L17" i="4"/>
  <c r="L40" i="4"/>
  <c r="N17" i="4"/>
  <c r="M17" i="4"/>
  <c r="J40" i="4"/>
  <c r="M21" i="4"/>
  <c r="M57" i="4"/>
  <c r="J39" i="3"/>
  <c r="M26" i="4"/>
  <c r="M61" i="4"/>
  <c r="N40" i="4"/>
  <c r="P33" i="6"/>
  <c r="I42" i="9"/>
  <c r="G82" i="9"/>
  <c r="D36" i="1"/>
  <c r="D41" i="1" s="1"/>
  <c r="E30" i="1" s="1"/>
  <c r="G96" i="7"/>
  <c r="F96" i="6"/>
  <c r="C98" i="9"/>
  <c r="J42" i="9"/>
  <c r="O38" i="4"/>
  <c r="E40" i="4"/>
  <c r="N35" i="4"/>
  <c r="N42" i="8"/>
  <c r="K42" i="8"/>
  <c r="N42" i="9"/>
  <c r="O39" i="4"/>
  <c r="K21" i="5"/>
  <c r="G82" i="8"/>
  <c r="D35" i="1"/>
  <c r="D40" i="1" s="1"/>
  <c r="E29" i="1" s="1"/>
  <c r="K42" i="9"/>
  <c r="E42" i="9"/>
  <c r="G42" i="9"/>
  <c r="N42" i="7"/>
  <c r="L42" i="9"/>
  <c r="O34" i="4"/>
  <c r="C40" i="6"/>
  <c r="C68" i="4"/>
  <c r="B39" i="3"/>
  <c r="E61" i="4"/>
  <c r="E21" i="4"/>
  <c r="E42" i="6"/>
  <c r="E57" i="4"/>
  <c r="E26" i="4"/>
  <c r="H17" i="4"/>
  <c r="I17" i="4"/>
  <c r="F42" i="8"/>
  <c r="E35" i="4"/>
  <c r="O33" i="4"/>
  <c r="C97" i="8"/>
  <c r="M42" i="8"/>
  <c r="M42" i="9"/>
  <c r="J42" i="7"/>
  <c r="L57" i="4"/>
  <c r="L26" i="4"/>
  <c r="L42" i="6"/>
  <c r="L61" i="4"/>
  <c r="L21" i="4"/>
  <c r="I39" i="3"/>
  <c r="H42" i="7"/>
  <c r="I57" i="4"/>
  <c r="I61" i="4"/>
  <c r="I26" i="4"/>
  <c r="I21" i="4"/>
  <c r="I42" i="6"/>
  <c r="F39" i="3"/>
  <c r="J68" i="4"/>
  <c r="J40" i="6"/>
  <c r="G96" i="9"/>
  <c r="B21" i="5"/>
  <c r="H40" i="6"/>
  <c r="H68" i="4"/>
  <c r="I42" i="8"/>
  <c r="G68" i="4"/>
  <c r="G40" i="6"/>
  <c r="L42" i="7"/>
  <c r="K40" i="6"/>
  <c r="K68" i="4"/>
  <c r="F42" i="6"/>
  <c r="F26" i="4"/>
  <c r="F21" i="4"/>
  <c r="C39" i="3"/>
  <c r="F61" i="4"/>
  <c r="F57" i="4"/>
  <c r="N26" i="4"/>
  <c r="N21" i="4"/>
  <c r="N57" i="4"/>
  <c r="N42" i="6"/>
  <c r="N61" i="4"/>
  <c r="K39" i="3"/>
  <c r="C98" i="7"/>
  <c r="O16" i="4"/>
  <c r="C40" i="4"/>
  <c r="C37" i="1"/>
  <c r="C39" i="1"/>
  <c r="D28" i="1" s="1"/>
  <c r="H42" i="8"/>
  <c r="I42" i="7"/>
  <c r="G96" i="8"/>
  <c r="C73" i="4"/>
  <c r="C64" i="4"/>
  <c r="C56" i="4"/>
  <c r="G82" i="7"/>
  <c r="F82" i="6"/>
  <c r="D34" i="1"/>
  <c r="C93" i="6"/>
  <c r="H83" i="7"/>
  <c r="G83" i="6"/>
  <c r="M42" i="6"/>
  <c r="J42" i="8"/>
  <c r="G42" i="7"/>
  <c r="E43" i="4"/>
  <c r="E45" i="4" s="1"/>
  <c r="K42" i="7"/>
  <c r="F21" i="5"/>
  <c r="M63" i="4" l="1"/>
  <c r="J11" i="3"/>
  <c r="N63" i="4"/>
  <c r="K11" i="3"/>
  <c r="C11" i="3"/>
  <c r="F63" i="4"/>
  <c r="G96" i="6"/>
  <c r="H96" i="7"/>
  <c r="D31" i="1"/>
  <c r="F44" i="4" s="1"/>
  <c r="C42" i="6"/>
  <c r="C21" i="4"/>
  <c r="C61" i="4"/>
  <c r="C63" i="4" s="1"/>
  <c r="C65" i="4" s="1"/>
  <c r="C26" i="4"/>
  <c r="C57" i="4"/>
  <c r="C58" i="4" s="1"/>
  <c r="G42" i="6"/>
  <c r="G21" i="4"/>
  <c r="D39" i="3"/>
  <c r="G61" i="4"/>
  <c r="G26" i="4"/>
  <c r="G57" i="4"/>
  <c r="H82" i="9"/>
  <c r="E36" i="1"/>
  <c r="E41" i="1" s="1"/>
  <c r="F30" i="1" s="1"/>
  <c r="H96" i="8"/>
  <c r="H42" i="6"/>
  <c r="E39" i="3"/>
  <c r="H61" i="4"/>
  <c r="H21" i="4"/>
  <c r="H57" i="4"/>
  <c r="H26" i="4"/>
  <c r="H82" i="8"/>
  <c r="E35" i="1"/>
  <c r="E40" i="1" s="1"/>
  <c r="F29" i="1" s="1"/>
  <c r="I83" i="7"/>
  <c r="H83" i="6"/>
  <c r="F11" i="3"/>
  <c r="I63" i="4"/>
  <c r="C98" i="8"/>
  <c r="K61" i="4"/>
  <c r="K57" i="4"/>
  <c r="K26" i="4"/>
  <c r="H39" i="3"/>
  <c r="K42" i="6"/>
  <c r="K21" i="4"/>
  <c r="I11" i="3"/>
  <c r="L63" i="4"/>
  <c r="E63" i="4"/>
  <c r="B11" i="3"/>
  <c r="F43" i="4"/>
  <c r="H96" i="9"/>
  <c r="O35" i="4"/>
  <c r="O40" i="4"/>
  <c r="H82" i="7"/>
  <c r="E34" i="1"/>
  <c r="G82" i="6"/>
  <c r="C97" i="6"/>
  <c r="C98" i="6" s="1"/>
  <c r="J42" i="6"/>
  <c r="J61" i="4"/>
  <c r="J57" i="4"/>
  <c r="J26" i="4"/>
  <c r="J21" i="4"/>
  <c r="G39" i="3"/>
  <c r="D37" i="1"/>
  <c r="D39" i="1"/>
  <c r="E28" i="1" s="1"/>
  <c r="O26" i="4" l="1"/>
  <c r="O21" i="4"/>
  <c r="E31" i="1"/>
  <c r="G44" i="4" s="1"/>
  <c r="D11" i="3"/>
  <c r="G63" i="4"/>
  <c r="I96" i="9"/>
  <c r="I96" i="8"/>
  <c r="I83" i="6"/>
  <c r="J83" i="7"/>
  <c r="G43" i="4"/>
  <c r="I82" i="9"/>
  <c r="F36" i="1"/>
  <c r="F41" i="1" s="1"/>
  <c r="G30" i="1" s="1"/>
  <c r="E39" i="1"/>
  <c r="F28" i="1" s="1"/>
  <c r="E37" i="1"/>
  <c r="H11" i="3"/>
  <c r="K63" i="4"/>
  <c r="I96" i="7"/>
  <c r="H96" i="6"/>
  <c r="G11" i="3"/>
  <c r="J63" i="4"/>
  <c r="F45" i="4"/>
  <c r="H82" i="6"/>
  <c r="I82" i="7"/>
  <c r="F34" i="1"/>
  <c r="I82" i="8"/>
  <c r="F35" i="1"/>
  <c r="F40" i="1" s="1"/>
  <c r="G29" i="1" s="1"/>
  <c r="H63" i="4"/>
  <c r="E11" i="3"/>
  <c r="F31" i="1" l="1"/>
  <c r="H44" i="4" s="1"/>
  <c r="J83" i="6"/>
  <c r="K83" i="7"/>
  <c r="J82" i="7"/>
  <c r="I82" i="6"/>
  <c r="G34" i="1"/>
  <c r="H43" i="4"/>
  <c r="J82" i="8"/>
  <c r="G35" i="1"/>
  <c r="G40" i="1" s="1"/>
  <c r="H29" i="1" s="1"/>
  <c r="J96" i="7"/>
  <c r="I96" i="6"/>
  <c r="J96" i="8"/>
  <c r="J96" i="9"/>
  <c r="J82" i="9"/>
  <c r="G36" i="1"/>
  <c r="G41" i="1" s="1"/>
  <c r="H30" i="1" s="1"/>
  <c r="F37" i="1"/>
  <c r="F39" i="1"/>
  <c r="G28" i="1" s="1"/>
  <c r="G45" i="4"/>
  <c r="H45" i="4" l="1"/>
  <c r="G31" i="1"/>
  <c r="I44" i="4" s="1"/>
  <c r="K96" i="7"/>
  <c r="J96" i="6"/>
  <c r="G37" i="1"/>
  <c r="G39" i="1"/>
  <c r="H28" i="1" s="1"/>
  <c r="I43" i="4"/>
  <c r="I45" i="4" s="1"/>
  <c r="K82" i="9"/>
  <c r="H36" i="1"/>
  <c r="H41" i="1" s="1"/>
  <c r="I30" i="1" s="1"/>
  <c r="K82" i="7"/>
  <c r="J82" i="6"/>
  <c r="H34" i="1"/>
  <c r="K96" i="9"/>
  <c r="K82" i="8"/>
  <c r="H35" i="1"/>
  <c r="H40" i="1" s="1"/>
  <c r="I29" i="1" s="1"/>
  <c r="L83" i="7"/>
  <c r="K83" i="6"/>
  <c r="K96" i="8"/>
  <c r="H31" i="1" l="1"/>
  <c r="J44" i="4" s="1"/>
  <c r="L82" i="8"/>
  <c r="I35" i="1"/>
  <c r="I40" i="1" s="1"/>
  <c r="J29" i="1" s="1"/>
  <c r="L96" i="7"/>
  <c r="K96" i="6"/>
  <c r="L96" i="9"/>
  <c r="H39" i="1"/>
  <c r="I28" i="1" s="1"/>
  <c r="H37" i="1"/>
  <c r="L96" i="8"/>
  <c r="J43" i="4"/>
  <c r="L82" i="7"/>
  <c r="K82" i="6"/>
  <c r="I34" i="1"/>
  <c r="L83" i="6"/>
  <c r="M83" i="7"/>
  <c r="L82" i="9"/>
  <c r="I36" i="1"/>
  <c r="I41" i="1" s="1"/>
  <c r="J30" i="1" s="1"/>
  <c r="J45" i="4" l="1"/>
  <c r="M82" i="7"/>
  <c r="L82" i="6"/>
  <c r="J34" i="1"/>
  <c r="M96" i="7"/>
  <c r="L96" i="6"/>
  <c r="M96" i="8"/>
  <c r="M82" i="8"/>
  <c r="J35" i="1"/>
  <c r="J40" i="1" s="1"/>
  <c r="K29" i="1" s="1"/>
  <c r="I31" i="1"/>
  <c r="K44" i="4" s="1"/>
  <c r="M96" i="9"/>
  <c r="M82" i="9"/>
  <c r="J36" i="1"/>
  <c r="J41" i="1" s="1"/>
  <c r="K30" i="1" s="1"/>
  <c r="I39" i="1"/>
  <c r="J28" i="1" s="1"/>
  <c r="I37" i="1"/>
  <c r="K43" i="4"/>
  <c r="N83" i="7"/>
  <c r="N83" i="6" s="1"/>
  <c r="M83" i="6"/>
  <c r="K45" i="4" l="1"/>
  <c r="J31" i="1"/>
  <c r="L44" i="4" s="1"/>
  <c r="J37" i="1"/>
  <c r="J39" i="1"/>
  <c r="K28" i="1" s="1"/>
  <c r="M96" i="6"/>
  <c r="N96" i="7"/>
  <c r="N96" i="9"/>
  <c r="L43" i="4"/>
  <c r="N82" i="8"/>
  <c r="L35" i="1" s="1"/>
  <c r="K35" i="1"/>
  <c r="K40" i="1" s="1"/>
  <c r="L29" i="1" s="1"/>
  <c r="N96" i="8"/>
  <c r="N82" i="7"/>
  <c r="M82" i="6"/>
  <c r="K34" i="1"/>
  <c r="N82" i="9"/>
  <c r="L36" i="1" s="1"/>
  <c r="K36" i="1"/>
  <c r="K41" i="1" s="1"/>
  <c r="L30" i="1" s="1"/>
  <c r="K31" i="1" l="1"/>
  <c r="M44" i="4" s="1"/>
  <c r="M43" i="4"/>
  <c r="N82" i="6"/>
  <c r="N43" i="4" s="1"/>
  <c r="L34" i="1"/>
  <c r="L41" i="1"/>
  <c r="N96" i="6"/>
  <c r="K39" i="1"/>
  <c r="L28" i="1" s="1"/>
  <c r="L31" i="1" s="1"/>
  <c r="N44" i="4" s="1"/>
  <c r="K37" i="1"/>
  <c r="L40" i="1"/>
  <c r="L45" i="4"/>
  <c r="M45" i="4" l="1"/>
  <c r="N45" i="4"/>
  <c r="L39" i="1"/>
  <c r="L37" i="1"/>
  <c r="C11" i="6" l="1"/>
  <c r="C44" i="7"/>
  <c r="C44" i="9"/>
  <c r="C44" i="8"/>
  <c r="E44" i="9" l="1"/>
  <c r="E44" i="8"/>
  <c r="E44" i="7"/>
  <c r="E11" i="6"/>
  <c r="C44" i="6"/>
  <c r="F44" i="9" l="1"/>
  <c r="F44" i="8"/>
  <c r="E44" i="6"/>
  <c r="F44" i="7"/>
  <c r="F11" i="6"/>
  <c r="F44" i="6" l="1"/>
  <c r="G44" i="7"/>
  <c r="G11" i="6"/>
  <c r="G44" i="9"/>
  <c r="G44" i="8"/>
  <c r="H11" i="6" l="1"/>
  <c r="H44" i="7"/>
  <c r="H44" i="9"/>
  <c r="H44" i="8"/>
  <c r="G44" i="6"/>
  <c r="I44" i="7" l="1"/>
  <c r="I44" i="8"/>
  <c r="C45" i="9"/>
  <c r="C48" i="9" s="1"/>
  <c r="C50" i="9" s="1"/>
  <c r="C15" i="9"/>
  <c r="C17" i="9" s="1"/>
  <c r="H44" i="6"/>
  <c r="I44" i="9" l="1"/>
  <c r="C69" i="9"/>
  <c r="C71" i="9" s="1"/>
  <c r="C25" i="9"/>
  <c r="C45" i="8"/>
  <c r="C48" i="8" s="1"/>
  <c r="C50" i="8" s="1"/>
  <c r="C15" i="8"/>
  <c r="C17" i="8" s="1"/>
  <c r="C55" i="9"/>
  <c r="C59" i="9" s="1"/>
  <c r="C61" i="9" s="1"/>
  <c r="C53" i="9"/>
  <c r="I11" i="6"/>
  <c r="J44" i="9" l="1"/>
  <c r="K44" i="7"/>
  <c r="C53" i="8"/>
  <c r="C55" i="8"/>
  <c r="C59" i="8" s="1"/>
  <c r="C61" i="8" s="1"/>
  <c r="E45" i="9"/>
  <c r="E15" i="9"/>
  <c r="E17" i="9" s="1"/>
  <c r="C35" i="9"/>
  <c r="C37" i="9" s="1"/>
  <c r="I44" i="6"/>
  <c r="J11" i="6"/>
  <c r="J44" i="7"/>
  <c r="J44" i="8"/>
  <c r="C69" i="8"/>
  <c r="C71" i="8" s="1"/>
  <c r="C25" i="8"/>
  <c r="C73" i="9"/>
  <c r="C75" i="9" s="1"/>
  <c r="K44" i="9" l="1"/>
  <c r="E45" i="8"/>
  <c r="E15" i="8"/>
  <c r="E17" i="8" s="1"/>
  <c r="L44" i="8"/>
  <c r="K11" i="6"/>
  <c r="E69" i="9"/>
  <c r="E25" i="9"/>
  <c r="J44" i="6"/>
  <c r="E48" i="9"/>
  <c r="E50" i="9" s="1"/>
  <c r="L44" i="9"/>
  <c r="L44" i="7"/>
  <c r="L11" i="6"/>
  <c r="K44" i="8"/>
  <c r="C35" i="8"/>
  <c r="C37" i="8" s="1"/>
  <c r="C73" i="8"/>
  <c r="C75" i="8" s="1"/>
  <c r="E53" i="9" l="1"/>
  <c r="E55" i="9"/>
  <c r="E97" i="9"/>
  <c r="E71" i="9"/>
  <c r="E89" i="9"/>
  <c r="E35" i="9"/>
  <c r="E37" i="9" s="1"/>
  <c r="E48" i="8"/>
  <c r="E50" i="8" s="1"/>
  <c r="L44" i="6"/>
  <c r="E69" i="8"/>
  <c r="E25" i="8"/>
  <c r="K44" i="6"/>
  <c r="F45" i="9"/>
  <c r="F15" i="9"/>
  <c r="F17" i="9" s="1"/>
  <c r="M44" i="7" l="1"/>
  <c r="E35" i="8"/>
  <c r="E37" i="8" s="1"/>
  <c r="E91" i="9"/>
  <c r="E71" i="8"/>
  <c r="E89" i="8"/>
  <c r="F48" i="9"/>
  <c r="F50" i="9" s="1"/>
  <c r="M44" i="9"/>
  <c r="E98" i="9"/>
  <c r="F45" i="8"/>
  <c r="F15" i="8"/>
  <c r="F17" i="8" s="1"/>
  <c r="E59" i="9"/>
  <c r="E61" i="9" s="1"/>
  <c r="E73" i="9" s="1"/>
  <c r="E76" i="9" s="1"/>
  <c r="N44" i="7"/>
  <c r="N11" i="6"/>
  <c r="P11" i="7"/>
  <c r="F69" i="9"/>
  <c r="F71" i="9" s="1"/>
  <c r="F25" i="9"/>
  <c r="E55" i="8"/>
  <c r="E53" i="8"/>
  <c r="E97" i="8"/>
  <c r="N44" i="9"/>
  <c r="P11" i="9"/>
  <c r="N44" i="8"/>
  <c r="M11" i="6"/>
  <c r="P11" i="8" l="1"/>
  <c r="F75" i="9"/>
  <c r="E80" i="9"/>
  <c r="C45" i="7"/>
  <c r="C48" i="7" s="1"/>
  <c r="C50" i="7" s="1"/>
  <c r="C12" i="6"/>
  <c r="C15" i="7"/>
  <c r="C17" i="7" s="1"/>
  <c r="E59" i="8"/>
  <c r="E61" i="8" s="1"/>
  <c r="E73" i="8" s="1"/>
  <c r="E76" i="8" s="1"/>
  <c r="F53" i="9"/>
  <c r="F55" i="9"/>
  <c r="F35" i="9"/>
  <c r="F37" i="9" s="1"/>
  <c r="E91" i="8"/>
  <c r="F69" i="8"/>
  <c r="F71" i="8" s="1"/>
  <c r="F25" i="8"/>
  <c r="F48" i="8"/>
  <c r="F50" i="8" s="1"/>
  <c r="G45" i="9"/>
  <c r="G15" i="9"/>
  <c r="G17" i="9" s="1"/>
  <c r="N44" i="6"/>
  <c r="P11" i="6"/>
  <c r="M44" i="6"/>
  <c r="F97" i="9"/>
  <c r="F89" i="9"/>
  <c r="M44" i="8"/>
  <c r="E98" i="8"/>
  <c r="F89" i="8" l="1"/>
  <c r="F53" i="8"/>
  <c r="F55" i="8"/>
  <c r="F97" i="8"/>
  <c r="F59" i="9"/>
  <c r="F61" i="9" s="1"/>
  <c r="F73" i="9" s="1"/>
  <c r="F76" i="9" s="1"/>
  <c r="F91" i="8"/>
  <c r="G69" i="9"/>
  <c r="G71" i="9" s="1"/>
  <c r="G25" i="9"/>
  <c r="F75" i="8"/>
  <c r="E80" i="8"/>
  <c r="G45" i="8"/>
  <c r="G15" i="8"/>
  <c r="G17" i="8" s="1"/>
  <c r="F91" i="9"/>
  <c r="C79" i="4"/>
  <c r="C45" i="6"/>
  <c r="C48" i="6" s="1"/>
  <c r="C50" i="6" s="1"/>
  <c r="C15" i="6"/>
  <c r="C17" i="6" s="1"/>
  <c r="C69" i="4"/>
  <c r="C70" i="4" s="1"/>
  <c r="C74" i="4" s="1"/>
  <c r="F35" i="8"/>
  <c r="F37" i="8" s="1"/>
  <c r="C55" i="7"/>
  <c r="C59" i="7" s="1"/>
  <c r="C61" i="7" s="1"/>
  <c r="C53" i="7"/>
  <c r="F98" i="9"/>
  <c r="E84" i="9"/>
  <c r="E93" i="9" s="1"/>
  <c r="C22" i="6"/>
  <c r="C69" i="7"/>
  <c r="C71" i="7" s="1"/>
  <c r="C25" i="7"/>
  <c r="G48" i="9"/>
  <c r="G50" i="9" s="1"/>
  <c r="C73" i="7" l="1"/>
  <c r="C75" i="7" s="1"/>
  <c r="G89" i="9"/>
  <c r="C69" i="6"/>
  <c r="C71" i="6" s="1"/>
  <c r="C25" i="6"/>
  <c r="G48" i="8"/>
  <c r="G50" i="8" s="1"/>
  <c r="G97" i="8" s="1"/>
  <c r="C78" i="4"/>
  <c r="C80" i="4" s="1"/>
  <c r="C75" i="4"/>
  <c r="E84" i="8"/>
  <c r="E93" i="8" s="1"/>
  <c r="G53" i="9"/>
  <c r="G55" i="9"/>
  <c r="C55" i="6"/>
  <c r="C59" i="6" s="1"/>
  <c r="C61" i="6" s="1"/>
  <c r="C53" i="6"/>
  <c r="C25" i="4"/>
  <c r="C27" i="4" s="1"/>
  <c r="C20" i="4"/>
  <c r="C22" i="4" s="1"/>
  <c r="G75" i="9"/>
  <c r="F80" i="9"/>
  <c r="G69" i="8"/>
  <c r="G25" i="8"/>
  <c r="H45" i="9"/>
  <c r="H15" i="9"/>
  <c r="H17" i="9" s="1"/>
  <c r="G35" i="9"/>
  <c r="G37" i="9" s="1"/>
  <c r="F98" i="8"/>
  <c r="C35" i="7"/>
  <c r="C37" i="7" s="1"/>
  <c r="G91" i="9"/>
  <c r="F59" i="8"/>
  <c r="F61" i="8" s="1"/>
  <c r="F73" i="8" s="1"/>
  <c r="F76" i="8" s="1"/>
  <c r="G97" i="9"/>
  <c r="C73" i="6" l="1"/>
  <c r="C75" i="6" s="1"/>
  <c r="H45" i="8"/>
  <c r="H15" i="8"/>
  <c r="H17" i="8" s="1"/>
  <c r="G75" i="8"/>
  <c r="F80" i="8"/>
  <c r="G53" i="8"/>
  <c r="G55" i="8"/>
  <c r="H69" i="9"/>
  <c r="H25" i="9"/>
  <c r="H48" i="9"/>
  <c r="H50" i="9" s="1"/>
  <c r="H97" i="9" s="1"/>
  <c r="G59" i="9"/>
  <c r="G61" i="9" s="1"/>
  <c r="G73" i="9" s="1"/>
  <c r="G76" i="9" s="1"/>
  <c r="G35" i="8"/>
  <c r="G37" i="8" s="1"/>
  <c r="G71" i="8"/>
  <c r="G89" i="8"/>
  <c r="F84" i="9"/>
  <c r="F93" i="9" s="1"/>
  <c r="C35" i="6"/>
  <c r="C37" i="6" s="1"/>
  <c r="E45" i="7"/>
  <c r="E12" i="6"/>
  <c r="E15" i="7"/>
  <c r="E17" i="7" s="1"/>
  <c r="B6" i="3"/>
  <c r="B7" i="3"/>
  <c r="G98" i="8"/>
  <c r="G98" i="9"/>
  <c r="E45" i="6" l="1"/>
  <c r="E79" i="4"/>
  <c r="E69" i="4"/>
  <c r="E70" i="4" s="1"/>
  <c r="E74" i="4" s="1"/>
  <c r="E15" i="6"/>
  <c r="E17" i="6" s="1"/>
  <c r="E48" i="7"/>
  <c r="E50" i="7" s="1"/>
  <c r="H35" i="9"/>
  <c r="H37" i="9" s="1"/>
  <c r="G91" i="8"/>
  <c r="H71" i="9"/>
  <c r="H89" i="9"/>
  <c r="H98" i="9"/>
  <c r="G59" i="8"/>
  <c r="G61" i="8" s="1"/>
  <c r="G73" i="8" s="1"/>
  <c r="G76" i="8" s="1"/>
  <c r="F84" i="8"/>
  <c r="F93" i="8" s="1"/>
  <c r="H75" i="9"/>
  <c r="G80" i="9"/>
  <c r="E25" i="7"/>
  <c r="E22" i="6"/>
  <c r="E69" i="7"/>
  <c r="H53" i="9"/>
  <c r="H55" i="9"/>
  <c r="I45" i="9"/>
  <c r="I15" i="9"/>
  <c r="I17" i="9" s="1"/>
  <c r="H69" i="8"/>
  <c r="H71" i="8" s="1"/>
  <c r="H25" i="8"/>
  <c r="H48" i="8"/>
  <c r="H50" i="8" s="1"/>
  <c r="G84" i="9" l="1"/>
  <c r="G93" i="9" s="1"/>
  <c r="H59" i="9"/>
  <c r="H61" i="9" s="1"/>
  <c r="H73" i="9" s="1"/>
  <c r="H76" i="9" s="1"/>
  <c r="I48" i="9"/>
  <c r="I50" i="9" s="1"/>
  <c r="H53" i="8"/>
  <c r="H55" i="8"/>
  <c r="H97" i="8"/>
  <c r="H91" i="9"/>
  <c r="E53" i="7"/>
  <c r="E55" i="7"/>
  <c r="E97" i="7"/>
  <c r="I69" i="9"/>
  <c r="I71" i="9" s="1"/>
  <c r="I25" i="9"/>
  <c r="C6" i="3"/>
  <c r="C7" i="3"/>
  <c r="H35" i="8"/>
  <c r="H37" i="8" s="1"/>
  <c r="E71" i="7"/>
  <c r="E89" i="7"/>
  <c r="H89" i="8"/>
  <c r="E78" i="4"/>
  <c r="E80" i="4" s="1"/>
  <c r="B26" i="3"/>
  <c r="I45" i="8"/>
  <c r="I15" i="8"/>
  <c r="I17" i="8" s="1"/>
  <c r="E69" i="6"/>
  <c r="E71" i="6" s="1"/>
  <c r="E25" i="6"/>
  <c r="E35" i="7"/>
  <c r="E37" i="7" s="1"/>
  <c r="H75" i="8"/>
  <c r="G80" i="8"/>
  <c r="B37" i="3"/>
  <c r="E48" i="6"/>
  <c r="I89" i="9" l="1"/>
  <c r="B36" i="3"/>
  <c r="B40" i="3" s="1"/>
  <c r="E50" i="6"/>
  <c r="E59" i="7"/>
  <c r="E61" i="7" s="1"/>
  <c r="E73" i="7" s="1"/>
  <c r="E76" i="7" s="1"/>
  <c r="G84" i="8"/>
  <c r="G93" i="8" s="1"/>
  <c r="I48" i="8"/>
  <c r="I50" i="8" s="1"/>
  <c r="I97" i="8" s="1"/>
  <c r="I53" i="9"/>
  <c r="I55" i="9"/>
  <c r="I97" i="9"/>
  <c r="I69" i="8"/>
  <c r="I71" i="8" s="1"/>
  <c r="I25" i="8"/>
  <c r="F12" i="6"/>
  <c r="F45" i="7"/>
  <c r="F15" i="7"/>
  <c r="F17" i="7" s="1"/>
  <c r="B31" i="3"/>
  <c r="I91" i="9"/>
  <c r="I75" i="9"/>
  <c r="H80" i="9"/>
  <c r="H91" i="8"/>
  <c r="E35" i="6"/>
  <c r="E37" i="6" s="1"/>
  <c r="I35" i="9"/>
  <c r="I37" i="9" s="1"/>
  <c r="E91" i="7"/>
  <c r="E89" i="6"/>
  <c r="H98" i="8"/>
  <c r="H59" i="8"/>
  <c r="H61" i="8" s="1"/>
  <c r="H73" i="8" s="1"/>
  <c r="H76" i="8" s="1"/>
  <c r="J45" i="9"/>
  <c r="J15" i="9"/>
  <c r="J17" i="9" s="1"/>
  <c r="E97" i="6"/>
  <c r="E98" i="6" s="1"/>
  <c r="E98" i="7"/>
  <c r="I89" i="8" l="1"/>
  <c r="I91" i="8" s="1"/>
  <c r="F48" i="7"/>
  <c r="F50" i="7" s="1"/>
  <c r="F79" i="4"/>
  <c r="F45" i="6"/>
  <c r="F15" i="6"/>
  <c r="F17" i="6" s="1"/>
  <c r="F69" i="4"/>
  <c r="F70" i="4" s="1"/>
  <c r="F74" i="4" s="1"/>
  <c r="I98" i="8"/>
  <c r="I35" i="8"/>
  <c r="I37" i="8" s="1"/>
  <c r="D6" i="3"/>
  <c r="D7" i="3"/>
  <c r="F75" i="7"/>
  <c r="E80" i="7"/>
  <c r="H84" i="9"/>
  <c r="H93" i="9" s="1"/>
  <c r="J45" i="8"/>
  <c r="J15" i="8"/>
  <c r="J17" i="8" s="1"/>
  <c r="E91" i="6"/>
  <c r="E51" i="4"/>
  <c r="I98" i="9"/>
  <c r="E55" i="6"/>
  <c r="E59" i="6" s="1"/>
  <c r="E61" i="6" s="1"/>
  <c r="E73" i="6" s="1"/>
  <c r="E76" i="6" s="1"/>
  <c r="E53" i="6"/>
  <c r="E25" i="4"/>
  <c r="E20" i="4"/>
  <c r="I59" i="9"/>
  <c r="I61" i="9" s="1"/>
  <c r="I73" i="9" s="1"/>
  <c r="I76" i="9" s="1"/>
  <c r="J69" i="9"/>
  <c r="J25" i="9"/>
  <c r="F69" i="7"/>
  <c r="F25" i="7"/>
  <c r="F22" i="6"/>
  <c r="J48" i="9"/>
  <c r="J50" i="9" s="1"/>
  <c r="J97" i="9" s="1"/>
  <c r="H80" i="8"/>
  <c r="I75" i="8"/>
  <c r="I55" i="8"/>
  <c r="I53" i="8"/>
  <c r="J98" i="9" l="1"/>
  <c r="F69" i="6"/>
  <c r="F71" i="6" s="1"/>
  <c r="F25" i="6"/>
  <c r="F71" i="7"/>
  <c r="F89" i="7"/>
  <c r="E22" i="4"/>
  <c r="E27" i="4"/>
  <c r="F35" i="7"/>
  <c r="F37" i="7" s="1"/>
  <c r="I59" i="8"/>
  <c r="I61" i="8" s="1"/>
  <c r="I73" i="8" s="1"/>
  <c r="I76" i="8" s="1"/>
  <c r="J35" i="9"/>
  <c r="J37" i="9" s="1"/>
  <c r="F78" i="4"/>
  <c r="F80" i="4" s="1"/>
  <c r="C26" i="3"/>
  <c r="J71" i="9"/>
  <c r="J89" i="9"/>
  <c r="F75" i="6"/>
  <c r="E80" i="6"/>
  <c r="C37" i="3"/>
  <c r="F48" i="6"/>
  <c r="H84" i="8"/>
  <c r="H93" i="8" s="1"/>
  <c r="J75" i="9"/>
  <c r="I80" i="9"/>
  <c r="E84" i="7"/>
  <c r="E93" i="7" s="1"/>
  <c r="K45" i="9"/>
  <c r="K15" i="9"/>
  <c r="K17" i="9" s="1"/>
  <c r="J48" i="8"/>
  <c r="J50" i="8" s="1"/>
  <c r="F53" i="7"/>
  <c r="F55" i="7"/>
  <c r="F97" i="7"/>
  <c r="J69" i="8"/>
  <c r="J25" i="8"/>
  <c r="J53" i="9"/>
  <c r="J55" i="9"/>
  <c r="J71" i="8" l="1"/>
  <c r="J89" i="8"/>
  <c r="F91" i="7"/>
  <c r="F89" i="6"/>
  <c r="E7" i="3"/>
  <c r="E6" i="3"/>
  <c r="F97" i="6"/>
  <c r="F98" i="6" s="1"/>
  <c r="F98" i="7"/>
  <c r="I80" i="8"/>
  <c r="J75" i="8"/>
  <c r="J35" i="8"/>
  <c r="J37" i="8" s="1"/>
  <c r="K45" i="8"/>
  <c r="K15" i="8"/>
  <c r="K17" i="8" s="1"/>
  <c r="F59" i="7"/>
  <c r="F61" i="7" s="1"/>
  <c r="F73" i="7" s="1"/>
  <c r="F76" i="7" s="1"/>
  <c r="I84" i="9"/>
  <c r="I93" i="9" s="1"/>
  <c r="F35" i="6"/>
  <c r="F37" i="6" s="1"/>
  <c r="K69" i="9"/>
  <c r="K71" i="9" s="1"/>
  <c r="K25" i="9"/>
  <c r="J53" i="8"/>
  <c r="J55" i="8"/>
  <c r="J97" i="8"/>
  <c r="E52" i="4"/>
  <c r="E53" i="4" s="1"/>
  <c r="E84" i="6"/>
  <c r="E93" i="6" s="1"/>
  <c r="J91" i="9"/>
  <c r="K48" i="9"/>
  <c r="K50" i="9" s="1"/>
  <c r="G45" i="7"/>
  <c r="G12" i="6"/>
  <c r="G15" i="7"/>
  <c r="G17" i="7" s="1"/>
  <c r="J59" i="9"/>
  <c r="J61" i="9" s="1"/>
  <c r="J73" i="9" s="1"/>
  <c r="J76" i="9" s="1"/>
  <c r="C36" i="3"/>
  <c r="C40" i="3" s="1"/>
  <c r="F50" i="6"/>
  <c r="C31" i="3"/>
  <c r="K89" i="9" l="1"/>
  <c r="K91" i="9" s="1"/>
  <c r="K69" i="8"/>
  <c r="K71" i="8" s="1"/>
  <c r="K25" i="8"/>
  <c r="F53" i="6"/>
  <c r="F25" i="4"/>
  <c r="F20" i="4"/>
  <c r="F55" i="6"/>
  <c r="F59" i="6" s="1"/>
  <c r="F61" i="6" s="1"/>
  <c r="F73" i="6" s="1"/>
  <c r="F76" i="6" s="1"/>
  <c r="E73" i="4"/>
  <c r="E75" i="4" s="1"/>
  <c r="E64" i="4"/>
  <c r="E56" i="4"/>
  <c r="F51" i="4"/>
  <c r="F91" i="6"/>
  <c r="K75" i="9"/>
  <c r="J80" i="9"/>
  <c r="I84" i="8"/>
  <c r="I93" i="8" s="1"/>
  <c r="G79" i="4"/>
  <c r="G45" i="6"/>
  <c r="G69" i="4"/>
  <c r="G70" i="4" s="1"/>
  <c r="G74" i="4" s="1"/>
  <c r="G15" i="6"/>
  <c r="G17" i="6" s="1"/>
  <c r="J98" i="8"/>
  <c r="G22" i="6"/>
  <c r="G69" i="7"/>
  <c r="G25" i="7"/>
  <c r="L45" i="9"/>
  <c r="L15" i="9"/>
  <c r="L17" i="9" s="1"/>
  <c r="G48" i="7"/>
  <c r="G50" i="7" s="1"/>
  <c r="J59" i="8"/>
  <c r="J61" i="8" s="1"/>
  <c r="J73" i="8" s="1"/>
  <c r="J76" i="8" s="1"/>
  <c r="K53" i="9"/>
  <c r="K55" i="9"/>
  <c r="K97" i="9"/>
  <c r="K35" i="9"/>
  <c r="K37" i="9" s="1"/>
  <c r="F80" i="7"/>
  <c r="G75" i="7"/>
  <c r="J91" i="8"/>
  <c r="K48" i="8"/>
  <c r="K50" i="8" s="1"/>
  <c r="K97" i="8" s="1"/>
  <c r="K89" i="8" l="1"/>
  <c r="K98" i="8"/>
  <c r="K98" i="9"/>
  <c r="G71" i="7"/>
  <c r="G89" i="7"/>
  <c r="K59" i="9"/>
  <c r="K61" i="9" s="1"/>
  <c r="K73" i="9" s="1"/>
  <c r="K76" i="9" s="1"/>
  <c r="G69" i="6"/>
  <c r="G71" i="6" s="1"/>
  <c r="G25" i="6"/>
  <c r="F6" i="3"/>
  <c r="F7" i="3"/>
  <c r="K75" i="8"/>
  <c r="J80" i="8"/>
  <c r="L69" i="9"/>
  <c r="L25" i="9"/>
  <c r="F80" i="6"/>
  <c r="G75" i="6"/>
  <c r="G55" i="7"/>
  <c r="G53" i="7"/>
  <c r="G97" i="7"/>
  <c r="F22" i="4"/>
  <c r="K53" i="8"/>
  <c r="K55" i="8"/>
  <c r="D26" i="3"/>
  <c r="G78" i="4"/>
  <c r="G80" i="4" s="1"/>
  <c r="F27" i="4"/>
  <c r="L45" i="8"/>
  <c r="L15" i="8"/>
  <c r="L17" i="8" s="1"/>
  <c r="F84" i="7"/>
  <c r="F93" i="7" s="1"/>
  <c r="D37" i="3"/>
  <c r="G48" i="6"/>
  <c r="L48" i="9"/>
  <c r="L50" i="9" s="1"/>
  <c r="L97" i="9" s="1"/>
  <c r="K35" i="8"/>
  <c r="K37" i="8" s="1"/>
  <c r="K91" i="8"/>
  <c r="B25" i="3"/>
  <c r="E58" i="4"/>
  <c r="G35" i="7"/>
  <c r="G37" i="7" s="1"/>
  <c r="J84" i="9"/>
  <c r="J93" i="9" s="1"/>
  <c r="B12" i="3"/>
  <c r="E65" i="4"/>
  <c r="L98" i="9" l="1"/>
  <c r="L71" i="9"/>
  <c r="L89" i="9"/>
  <c r="L48" i="8"/>
  <c r="L50" i="8" s="1"/>
  <c r="G97" i="6"/>
  <c r="G98" i="6" s="1"/>
  <c r="G98" i="7"/>
  <c r="G35" i="6"/>
  <c r="G37" i="6" s="1"/>
  <c r="G59" i="7"/>
  <c r="G61" i="7" s="1"/>
  <c r="G73" i="7" s="1"/>
  <c r="G76" i="7" s="1"/>
  <c r="J84" i="8"/>
  <c r="J93" i="8" s="1"/>
  <c r="L69" i="8"/>
  <c r="L25" i="8"/>
  <c r="D36" i="3"/>
  <c r="D40" i="3" s="1"/>
  <c r="G50" i="6"/>
  <c r="B32" i="3"/>
  <c r="B33" i="3" s="1"/>
  <c r="B27" i="3"/>
  <c r="F84" i="6"/>
  <c r="F93" i="6" s="1"/>
  <c r="F52" i="4"/>
  <c r="F53" i="4" s="1"/>
  <c r="K80" i="9"/>
  <c r="L75" i="9"/>
  <c r="D31" i="3"/>
  <c r="G91" i="7"/>
  <c r="G89" i="6"/>
  <c r="B14" i="3"/>
  <c r="B13" i="3"/>
  <c r="K59" i="8"/>
  <c r="K61" i="8" s="1"/>
  <c r="K73" i="8" s="1"/>
  <c r="K76" i="8" s="1"/>
  <c r="M45" i="9"/>
  <c r="M15" i="9"/>
  <c r="M17" i="9" s="1"/>
  <c r="H12" i="6"/>
  <c r="H45" i="7"/>
  <c r="H15" i="7"/>
  <c r="H17" i="7" s="1"/>
  <c r="L53" i="9"/>
  <c r="L55" i="9"/>
  <c r="L35" i="9"/>
  <c r="L37" i="9" s="1"/>
  <c r="L35" i="8" l="1"/>
  <c r="L37" i="8" s="1"/>
  <c r="L59" i="9"/>
  <c r="L61" i="9" s="1"/>
  <c r="L73" i="9" s="1"/>
  <c r="L76" i="9" s="1"/>
  <c r="M48" i="9"/>
  <c r="M50" i="9" s="1"/>
  <c r="L71" i="8"/>
  <c r="L89" i="8"/>
  <c r="M45" i="8"/>
  <c r="M15" i="8"/>
  <c r="M17" i="8" s="1"/>
  <c r="M69" i="9"/>
  <c r="M71" i="9" s="1"/>
  <c r="M25" i="9"/>
  <c r="G51" i="4"/>
  <c r="G91" i="6"/>
  <c r="L53" i="8"/>
  <c r="L55" i="8"/>
  <c r="L97" i="8"/>
  <c r="H48" i="7"/>
  <c r="H50" i="7" s="1"/>
  <c r="F64" i="4"/>
  <c r="F56" i="4"/>
  <c r="F73" i="4"/>
  <c r="F75" i="4" s="1"/>
  <c r="H45" i="6"/>
  <c r="H79" i="4"/>
  <c r="H15" i="6"/>
  <c r="H17" i="6" s="1"/>
  <c r="H69" i="4"/>
  <c r="H70" i="4" s="1"/>
  <c r="H74" i="4" s="1"/>
  <c r="L75" i="8"/>
  <c r="K80" i="8"/>
  <c r="G6" i="3"/>
  <c r="G7" i="3"/>
  <c r="H69" i="7"/>
  <c r="H22" i="6"/>
  <c r="H25" i="7"/>
  <c r="G80" i="7"/>
  <c r="H75" i="7"/>
  <c r="L91" i="9"/>
  <c r="G55" i="6"/>
  <c r="G59" i="6" s="1"/>
  <c r="G61" i="6" s="1"/>
  <c r="G73" i="6" s="1"/>
  <c r="G76" i="6" s="1"/>
  <c r="G53" i="6"/>
  <c r="G25" i="4"/>
  <c r="G20" i="4"/>
  <c r="K84" i="9"/>
  <c r="K93" i="9" s="1"/>
  <c r="M89" i="9" l="1"/>
  <c r="L98" i="8"/>
  <c r="E37" i="3"/>
  <c r="H48" i="6"/>
  <c r="L59" i="8"/>
  <c r="L61" i="8" s="1"/>
  <c r="L73" i="8" s="1"/>
  <c r="L76" i="8" s="1"/>
  <c r="M69" i="8"/>
  <c r="M71" i="8" s="1"/>
  <c r="M25" i="8"/>
  <c r="M91" i="9"/>
  <c r="M48" i="8"/>
  <c r="M50" i="8" s="1"/>
  <c r="K84" i="8"/>
  <c r="K93" i="8" s="1"/>
  <c r="L91" i="8"/>
  <c r="N45" i="9"/>
  <c r="N15" i="9"/>
  <c r="N17" i="9" s="1"/>
  <c r="P12" i="9"/>
  <c r="P15" i="9" s="1"/>
  <c r="P17" i="9" s="1"/>
  <c r="F58" i="4"/>
  <c r="C25" i="3"/>
  <c r="G84" i="7"/>
  <c r="G93" i="7" s="1"/>
  <c r="C12" i="3"/>
  <c r="F65" i="4"/>
  <c r="M55" i="9"/>
  <c r="M53" i="9"/>
  <c r="M97" i="9"/>
  <c r="G22" i="4"/>
  <c r="H53" i="7"/>
  <c r="H55" i="7"/>
  <c r="H97" i="7"/>
  <c r="G27" i="4"/>
  <c r="H35" i="7"/>
  <c r="H37" i="7" s="1"/>
  <c r="L80" i="9"/>
  <c r="M75" i="9"/>
  <c r="H75" i="6"/>
  <c r="G80" i="6"/>
  <c r="H69" i="6"/>
  <c r="H71" i="6" s="1"/>
  <c r="H25" i="6"/>
  <c r="H78" i="4"/>
  <c r="H80" i="4" s="1"/>
  <c r="E26" i="3"/>
  <c r="H71" i="7"/>
  <c r="H89" i="7"/>
  <c r="M35" i="9"/>
  <c r="M37" i="9" s="1"/>
  <c r="M89" i="8" l="1"/>
  <c r="M91" i="8" s="1"/>
  <c r="L84" i="9"/>
  <c r="L93" i="9" s="1"/>
  <c r="M98" i="9"/>
  <c r="N69" i="9"/>
  <c r="N25" i="9"/>
  <c r="P22" i="9"/>
  <c r="P25" i="9" s="1"/>
  <c r="P35" i="9" s="1"/>
  <c r="P37" i="9" s="1"/>
  <c r="N45" i="8"/>
  <c r="N15" i="8"/>
  <c r="N17" i="8" s="1"/>
  <c r="P12" i="8"/>
  <c r="P15" i="8" s="1"/>
  <c r="P17" i="8" s="1"/>
  <c r="C32" i="3"/>
  <c r="C33" i="3" s="1"/>
  <c r="C27" i="3"/>
  <c r="H6" i="3"/>
  <c r="H7" i="3"/>
  <c r="M59" i="9"/>
  <c r="M61" i="9" s="1"/>
  <c r="M73" i="9" s="1"/>
  <c r="M76" i="9" s="1"/>
  <c r="M55" i="8"/>
  <c r="M53" i="8"/>
  <c r="H35" i="6"/>
  <c r="H37" i="6" s="1"/>
  <c r="N48" i="9"/>
  <c r="N50" i="9" s="1"/>
  <c r="M75" i="8"/>
  <c r="L80" i="8"/>
  <c r="C14" i="3"/>
  <c r="C13" i="3"/>
  <c r="I45" i="7"/>
  <c r="I12" i="6"/>
  <c r="I15" i="7"/>
  <c r="I17" i="7" s="1"/>
  <c r="E36" i="3"/>
  <c r="E40" i="3" s="1"/>
  <c r="H50" i="6"/>
  <c r="E31" i="3"/>
  <c r="H91" i="7"/>
  <c r="H89" i="6"/>
  <c r="G84" i="6"/>
  <c r="G93" i="6" s="1"/>
  <c r="G52" i="4"/>
  <c r="G53" i="4" s="1"/>
  <c r="H97" i="6"/>
  <c r="H98" i="6" s="1"/>
  <c r="H98" i="7"/>
  <c r="H59" i="7"/>
  <c r="H61" i="7" s="1"/>
  <c r="H73" i="7" s="1"/>
  <c r="H76" i="7" s="1"/>
  <c r="M35" i="8"/>
  <c r="M37" i="8" s="1"/>
  <c r="M97" i="8"/>
  <c r="H51" i="4" l="1"/>
  <c r="H91" i="6"/>
  <c r="N53" i="9"/>
  <c r="N55" i="9"/>
  <c r="N48" i="8"/>
  <c r="N50" i="8" s="1"/>
  <c r="I69" i="7"/>
  <c r="I22" i="6"/>
  <c r="I25" i="7"/>
  <c r="M98" i="8"/>
  <c r="N35" i="9"/>
  <c r="N37" i="9" s="1"/>
  <c r="N71" i="9"/>
  <c r="N89" i="9"/>
  <c r="I45" i="6"/>
  <c r="I79" i="4"/>
  <c r="I15" i="6"/>
  <c r="I17" i="6" s="1"/>
  <c r="I69" i="4"/>
  <c r="I70" i="4" s="1"/>
  <c r="I74" i="4" s="1"/>
  <c r="I48" i="7"/>
  <c r="I50" i="7" s="1"/>
  <c r="G73" i="4"/>
  <c r="G75" i="4" s="1"/>
  <c r="G64" i="4"/>
  <c r="G56" i="4"/>
  <c r="N97" i="9"/>
  <c r="N98" i="9" s="1"/>
  <c r="I75" i="7"/>
  <c r="H80" i="7"/>
  <c r="M59" i="8"/>
  <c r="M61" i="8" s="1"/>
  <c r="M73" i="8" s="1"/>
  <c r="M76" i="8" s="1"/>
  <c r="N69" i="8"/>
  <c r="N25" i="8"/>
  <c r="P22" i="8"/>
  <c r="P25" i="8" s="1"/>
  <c r="P35" i="8" s="1"/>
  <c r="P37" i="8" s="1"/>
  <c r="H53" i="6"/>
  <c r="H55" i="6"/>
  <c r="H59" i="6" s="1"/>
  <c r="H61" i="6" s="1"/>
  <c r="H73" i="6" s="1"/>
  <c r="H76" i="6" s="1"/>
  <c r="H25" i="4"/>
  <c r="H20" i="4"/>
  <c r="M80" i="9"/>
  <c r="N75" i="9"/>
  <c r="L84" i="8"/>
  <c r="L93" i="8" s="1"/>
  <c r="M80" i="8" l="1"/>
  <c r="N75" i="8"/>
  <c r="I6" i="3"/>
  <c r="I7" i="3"/>
  <c r="H80" i="6"/>
  <c r="I75" i="6"/>
  <c r="H84" i="7"/>
  <c r="H93" i="7" s="1"/>
  <c r="N59" i="9"/>
  <c r="N61" i="9" s="1"/>
  <c r="N73" i="9" s="1"/>
  <c r="N76" i="9" s="1"/>
  <c r="N80" i="9" s="1"/>
  <c r="N84" i="9" s="1"/>
  <c r="N55" i="8"/>
  <c r="N53" i="8"/>
  <c r="H27" i="4"/>
  <c r="G58" i="4"/>
  <c r="D25" i="3"/>
  <c r="F26" i="3"/>
  <c r="I78" i="4"/>
  <c r="I80" i="4" s="1"/>
  <c r="H22" i="4"/>
  <c r="D12" i="3"/>
  <c r="G65" i="4"/>
  <c r="N97" i="8"/>
  <c r="N98" i="8" s="1"/>
  <c r="N35" i="8"/>
  <c r="N37" i="8" s="1"/>
  <c r="N71" i="8"/>
  <c r="N89" i="8"/>
  <c r="I55" i="7"/>
  <c r="I53" i="7"/>
  <c r="I97" i="7"/>
  <c r="F37" i="3"/>
  <c r="I48" i="6"/>
  <c r="I35" i="7"/>
  <c r="I37" i="7" s="1"/>
  <c r="N91" i="9"/>
  <c r="I69" i="6"/>
  <c r="I71" i="6" s="1"/>
  <c r="I25" i="6"/>
  <c r="M84" i="9"/>
  <c r="M93" i="9" s="1"/>
  <c r="I71" i="7"/>
  <c r="I89" i="7"/>
  <c r="D32" i="3" l="1"/>
  <c r="D33" i="3" s="1"/>
  <c r="D27" i="3"/>
  <c r="I35" i="6"/>
  <c r="I37" i="6" s="1"/>
  <c r="F36" i="3"/>
  <c r="F40" i="3" s="1"/>
  <c r="I50" i="6"/>
  <c r="J45" i="7"/>
  <c r="J12" i="6"/>
  <c r="J15" i="7"/>
  <c r="J17" i="7" s="1"/>
  <c r="D14" i="3"/>
  <c r="D13" i="3"/>
  <c r="I91" i="7"/>
  <c r="I89" i="6"/>
  <c r="I97" i="6"/>
  <c r="I98" i="6" s="1"/>
  <c r="I98" i="7"/>
  <c r="H52" i="4"/>
  <c r="H53" i="4" s="1"/>
  <c r="H84" i="6"/>
  <c r="H93" i="6" s="1"/>
  <c r="N59" i="8"/>
  <c r="N61" i="8" s="1"/>
  <c r="N73" i="8" s="1"/>
  <c r="N76" i="8" s="1"/>
  <c r="N80" i="8" s="1"/>
  <c r="N84" i="8" s="1"/>
  <c r="I59" i="7"/>
  <c r="I61" i="7" s="1"/>
  <c r="I73" i="7" s="1"/>
  <c r="I76" i="7" s="1"/>
  <c r="N91" i="8"/>
  <c r="N93" i="9"/>
  <c r="F31" i="3"/>
  <c r="M84" i="8"/>
  <c r="M93" i="8" s="1"/>
  <c r="N93" i="8" l="1"/>
  <c r="J75" i="7"/>
  <c r="I80" i="7"/>
  <c r="J45" i="6"/>
  <c r="J79" i="4"/>
  <c r="J15" i="6"/>
  <c r="J17" i="6" s="1"/>
  <c r="J69" i="4"/>
  <c r="J70" i="4" s="1"/>
  <c r="J74" i="4" s="1"/>
  <c r="J69" i="7"/>
  <c r="J22" i="6"/>
  <c r="J25" i="7"/>
  <c r="J48" i="7"/>
  <c r="J50" i="7" s="1"/>
  <c r="I55" i="6"/>
  <c r="I59" i="6" s="1"/>
  <c r="I61" i="6" s="1"/>
  <c r="I73" i="6" s="1"/>
  <c r="I76" i="6" s="1"/>
  <c r="I25" i="4"/>
  <c r="I53" i="6"/>
  <c r="I20" i="4"/>
  <c r="J7" i="3"/>
  <c r="J6" i="3"/>
  <c r="H73" i="4"/>
  <c r="H75" i="4" s="1"/>
  <c r="H56" i="4"/>
  <c r="H64" i="4"/>
  <c r="I91" i="6"/>
  <c r="I51" i="4"/>
  <c r="E25" i="3" l="1"/>
  <c r="H58" i="4"/>
  <c r="I27" i="4"/>
  <c r="J78" i="4"/>
  <c r="J80" i="4" s="1"/>
  <c r="G26" i="3"/>
  <c r="I80" i="6"/>
  <c r="J75" i="6"/>
  <c r="G37" i="3"/>
  <c r="J48" i="6"/>
  <c r="J55" i="7"/>
  <c r="J53" i="7"/>
  <c r="J97" i="7"/>
  <c r="I84" i="7"/>
  <c r="I93" i="7" s="1"/>
  <c r="J35" i="7"/>
  <c r="J37" i="7" s="1"/>
  <c r="J69" i="6"/>
  <c r="J71" i="6" s="1"/>
  <c r="J25" i="6"/>
  <c r="I22" i="4"/>
  <c r="E12" i="3"/>
  <c r="H65" i="4"/>
  <c r="J71" i="7"/>
  <c r="J89" i="7"/>
  <c r="J35" i="6" l="1"/>
  <c r="J37" i="6" s="1"/>
  <c r="J97" i="6"/>
  <c r="J98" i="6" s="1"/>
  <c r="J98" i="7"/>
  <c r="J59" i="7"/>
  <c r="J61" i="7" s="1"/>
  <c r="J73" i="7" s="1"/>
  <c r="J76" i="7" s="1"/>
  <c r="I84" i="6"/>
  <c r="I93" i="6" s="1"/>
  <c r="I52" i="4"/>
  <c r="I53" i="4" s="1"/>
  <c r="G31" i="3"/>
  <c r="J91" i="7"/>
  <c r="J89" i="6"/>
  <c r="K6" i="3"/>
  <c r="K7" i="3"/>
  <c r="K12" i="6"/>
  <c r="K45" i="7"/>
  <c r="K15" i="7"/>
  <c r="K17" i="7" s="1"/>
  <c r="G36" i="3"/>
  <c r="G40" i="3" s="1"/>
  <c r="J50" i="6"/>
  <c r="E14" i="3"/>
  <c r="E13" i="3"/>
  <c r="E32" i="3"/>
  <c r="E33" i="3" s="1"/>
  <c r="E27" i="3"/>
  <c r="I56" i="4" l="1"/>
  <c r="I64" i="4"/>
  <c r="I73" i="4"/>
  <c r="I75" i="4" s="1"/>
  <c r="J51" i="4"/>
  <c r="J91" i="6"/>
  <c r="K48" i="7"/>
  <c r="K50" i="7" s="1"/>
  <c r="K79" i="4"/>
  <c r="K45" i="6"/>
  <c r="K69" i="4"/>
  <c r="K70" i="4" s="1"/>
  <c r="K74" i="4" s="1"/>
  <c r="K15" i="6"/>
  <c r="K17" i="6" s="1"/>
  <c r="K75" i="7"/>
  <c r="J80" i="7"/>
  <c r="K69" i="7"/>
  <c r="K22" i="6"/>
  <c r="K25" i="7"/>
  <c r="J53" i="6"/>
  <c r="J25" i="4"/>
  <c r="J27" i="4" s="1"/>
  <c r="J55" i="6"/>
  <c r="J59" i="6" s="1"/>
  <c r="J61" i="6" s="1"/>
  <c r="J73" i="6" s="1"/>
  <c r="J76" i="6" s="1"/>
  <c r="J20" i="4"/>
  <c r="J22" i="4" s="1"/>
  <c r="K71" i="7" l="1"/>
  <c r="K89" i="7"/>
  <c r="J84" i="7"/>
  <c r="J93" i="7" s="1"/>
  <c r="K78" i="4"/>
  <c r="K80" i="4" s="1"/>
  <c r="H26" i="3"/>
  <c r="J80" i="6"/>
  <c r="K75" i="6"/>
  <c r="H37" i="3"/>
  <c r="K48" i="6"/>
  <c r="K53" i="7"/>
  <c r="K55" i="7"/>
  <c r="K97" i="7"/>
  <c r="K35" i="7"/>
  <c r="K37" i="7" s="1"/>
  <c r="F12" i="3"/>
  <c r="I65" i="4"/>
  <c r="K69" i="6"/>
  <c r="K71" i="6" s="1"/>
  <c r="K25" i="6"/>
  <c r="F25" i="3"/>
  <c r="I58" i="4"/>
  <c r="K59" i="7" l="1"/>
  <c r="K61" i="7" s="1"/>
  <c r="K73" i="7" s="1"/>
  <c r="K76" i="7" s="1"/>
  <c r="F32" i="3"/>
  <c r="F33" i="3" s="1"/>
  <c r="F27" i="3"/>
  <c r="H36" i="3"/>
  <c r="H40" i="3" s="1"/>
  <c r="K50" i="6"/>
  <c r="K97" i="6"/>
  <c r="K98" i="6" s="1"/>
  <c r="K98" i="7"/>
  <c r="K35" i="6"/>
  <c r="K37" i="6" s="1"/>
  <c r="J84" i="6"/>
  <c r="J93" i="6" s="1"/>
  <c r="J52" i="4"/>
  <c r="J53" i="4" s="1"/>
  <c r="F14" i="3"/>
  <c r="F13" i="3"/>
  <c r="H31" i="3"/>
  <c r="K91" i="7"/>
  <c r="K89" i="6"/>
  <c r="L45" i="7"/>
  <c r="L12" i="6"/>
  <c r="L15" i="7"/>
  <c r="L17" i="7" s="1"/>
  <c r="K51" i="4" l="1"/>
  <c r="K91" i="6"/>
  <c r="K53" i="6"/>
  <c r="K55" i="6"/>
  <c r="K59" i="6" s="1"/>
  <c r="K61" i="6" s="1"/>
  <c r="K73" i="6" s="1"/>
  <c r="K76" i="6" s="1"/>
  <c r="K25" i="4"/>
  <c r="K27" i="4" s="1"/>
  <c r="K20" i="4"/>
  <c r="K22" i="4" s="1"/>
  <c r="J56" i="4"/>
  <c r="J73" i="4"/>
  <c r="J75" i="4" s="1"/>
  <c r="J64" i="4"/>
  <c r="L69" i="7"/>
  <c r="L22" i="6"/>
  <c r="L25" i="7"/>
  <c r="L45" i="6"/>
  <c r="L79" i="4"/>
  <c r="L69" i="4"/>
  <c r="L70" i="4" s="1"/>
  <c r="L74" i="4" s="1"/>
  <c r="L15" i="6"/>
  <c r="L17" i="6" s="1"/>
  <c r="L48" i="7"/>
  <c r="L50" i="7" s="1"/>
  <c r="K80" i="7"/>
  <c r="L75" i="7"/>
  <c r="L78" i="4" l="1"/>
  <c r="L80" i="4" s="1"/>
  <c r="I26" i="3"/>
  <c r="I37" i="3"/>
  <c r="L48" i="6"/>
  <c r="L75" i="6"/>
  <c r="K80" i="6"/>
  <c r="L35" i="7"/>
  <c r="L37" i="7" s="1"/>
  <c r="L69" i="6"/>
  <c r="L71" i="6" s="1"/>
  <c r="L25" i="6"/>
  <c r="K84" i="7"/>
  <c r="K93" i="7" s="1"/>
  <c r="L71" i="7"/>
  <c r="L89" i="7"/>
  <c r="G12" i="3"/>
  <c r="J65" i="4"/>
  <c r="L55" i="7"/>
  <c r="L53" i="7"/>
  <c r="L97" i="7"/>
  <c r="J58" i="4"/>
  <c r="G25" i="3"/>
  <c r="L59" i="7" l="1"/>
  <c r="L61" i="7" s="1"/>
  <c r="L73" i="7" s="1"/>
  <c r="L76" i="7" s="1"/>
  <c r="G14" i="3"/>
  <c r="G13" i="3"/>
  <c r="L91" i="7"/>
  <c r="L89" i="6"/>
  <c r="K84" i="6"/>
  <c r="K93" i="6" s="1"/>
  <c r="K52" i="4"/>
  <c r="K53" i="4" s="1"/>
  <c r="M45" i="7"/>
  <c r="M12" i="6"/>
  <c r="M15" i="7"/>
  <c r="M17" i="7" s="1"/>
  <c r="I36" i="3"/>
  <c r="I40" i="3" s="1"/>
  <c r="L50" i="6"/>
  <c r="G32" i="3"/>
  <c r="G33" i="3" s="1"/>
  <c r="G27" i="3"/>
  <c r="I31" i="3"/>
  <c r="L97" i="6"/>
  <c r="L98" i="6" s="1"/>
  <c r="L98" i="7"/>
  <c r="L35" i="6"/>
  <c r="L37" i="6" s="1"/>
  <c r="M69" i="7" l="1"/>
  <c r="M22" i="6"/>
  <c r="M25" i="7"/>
  <c r="M45" i="6"/>
  <c r="M79" i="4"/>
  <c r="M69" i="4"/>
  <c r="M70" i="4" s="1"/>
  <c r="M74" i="4" s="1"/>
  <c r="M15" i="6"/>
  <c r="M17" i="6" s="1"/>
  <c r="M48" i="7"/>
  <c r="M50" i="7" s="1"/>
  <c r="L51" i="4"/>
  <c r="L91" i="6"/>
  <c r="K56" i="4"/>
  <c r="K73" i="4"/>
  <c r="K75" i="4" s="1"/>
  <c r="K64" i="4"/>
  <c r="L25" i="4"/>
  <c r="L27" i="4" s="1"/>
  <c r="L20" i="4"/>
  <c r="L22" i="4" s="1"/>
  <c r="L53" i="6"/>
  <c r="L55" i="6"/>
  <c r="L59" i="6" s="1"/>
  <c r="L61" i="6" s="1"/>
  <c r="L73" i="6" s="1"/>
  <c r="L76" i="6" s="1"/>
  <c r="M75" i="7"/>
  <c r="L80" i="7"/>
  <c r="H12" i="3" l="1"/>
  <c r="K65" i="4"/>
  <c r="M78" i="4"/>
  <c r="M80" i="4" s="1"/>
  <c r="J26" i="3"/>
  <c r="H25" i="3"/>
  <c r="K58" i="4"/>
  <c r="J37" i="3"/>
  <c r="M48" i="6"/>
  <c r="L84" i="7"/>
  <c r="L93" i="7" s="1"/>
  <c r="M35" i="7"/>
  <c r="M37" i="7" s="1"/>
  <c r="M75" i="6"/>
  <c r="L80" i="6"/>
  <c r="M69" i="6"/>
  <c r="M71" i="6" s="1"/>
  <c r="M25" i="6"/>
  <c r="M71" i="7"/>
  <c r="M89" i="7"/>
  <c r="M53" i="7"/>
  <c r="M55" i="7"/>
  <c r="M97" i="7"/>
  <c r="J36" i="3" l="1"/>
  <c r="J40" i="3" s="1"/>
  <c r="M50" i="6"/>
  <c r="N45" i="7"/>
  <c r="N12" i="6"/>
  <c r="N15" i="7"/>
  <c r="N17" i="7" s="1"/>
  <c r="P12" i="7"/>
  <c r="P15" i="7" s="1"/>
  <c r="P17" i="7" s="1"/>
  <c r="L84" i="6"/>
  <c r="L93" i="6" s="1"/>
  <c r="L52" i="4"/>
  <c r="L53" i="4" s="1"/>
  <c r="H32" i="3"/>
  <c r="H33" i="3" s="1"/>
  <c r="H27" i="3"/>
  <c r="M97" i="6"/>
  <c r="M98" i="6" s="1"/>
  <c r="M98" i="7"/>
  <c r="J31" i="3"/>
  <c r="M59" i="7"/>
  <c r="M61" i="7" s="1"/>
  <c r="M73" i="7" s="1"/>
  <c r="M76" i="7" s="1"/>
  <c r="M91" i="7"/>
  <c r="M89" i="6"/>
  <c r="M35" i="6"/>
  <c r="M37" i="6" s="1"/>
  <c r="H14" i="3"/>
  <c r="H13" i="3"/>
  <c r="M91" i="6" l="1"/>
  <c r="M51" i="4"/>
  <c r="N69" i="7"/>
  <c r="N22" i="6"/>
  <c r="N25" i="7"/>
  <c r="P22" i="7"/>
  <c r="P25" i="7" s="1"/>
  <c r="P35" i="7" s="1"/>
  <c r="P37" i="7" s="1"/>
  <c r="N75" i="7"/>
  <c r="M80" i="7"/>
  <c r="L73" i="4"/>
  <c r="L75" i="4" s="1"/>
  <c r="L56" i="4"/>
  <c r="L64" i="4"/>
  <c r="N79" i="4"/>
  <c r="N45" i="6"/>
  <c r="N69" i="4"/>
  <c r="N70" i="4" s="1"/>
  <c r="N74" i="4" s="1"/>
  <c r="N15" i="6"/>
  <c r="N17" i="6" s="1"/>
  <c r="P12" i="6"/>
  <c r="P15" i="6" s="1"/>
  <c r="P17" i="6" s="1"/>
  <c r="N48" i="7"/>
  <c r="N50" i="7" s="1"/>
  <c r="M25" i="4"/>
  <c r="M27" i="4" s="1"/>
  <c r="M20" i="4"/>
  <c r="M22" i="4" s="1"/>
  <c r="M53" i="6"/>
  <c r="M55" i="6"/>
  <c r="M59" i="6" s="1"/>
  <c r="M61" i="6" s="1"/>
  <c r="M73" i="6" s="1"/>
  <c r="M76" i="6" s="1"/>
  <c r="K37" i="3" l="1"/>
  <c r="N48" i="6"/>
  <c r="N35" i="7"/>
  <c r="N37" i="7" s="1"/>
  <c r="N69" i="6"/>
  <c r="N71" i="6" s="1"/>
  <c r="N25" i="6"/>
  <c r="P22" i="6"/>
  <c r="P25" i="6" s="1"/>
  <c r="P35" i="6" s="1"/>
  <c r="P37" i="6" s="1"/>
  <c r="N75" i="6"/>
  <c r="M80" i="6"/>
  <c r="N71" i="7"/>
  <c r="N89" i="7"/>
  <c r="I12" i="3"/>
  <c r="L65" i="4"/>
  <c r="L58" i="4"/>
  <c r="I25" i="3"/>
  <c r="N55" i="7"/>
  <c r="N53" i="7"/>
  <c r="N97" i="7"/>
  <c r="M84" i="7"/>
  <c r="M93" i="7" s="1"/>
  <c r="K26" i="3"/>
  <c r="N78" i="4"/>
  <c r="N80" i="4" s="1"/>
  <c r="M84" i="6" l="1"/>
  <c r="M93" i="6" s="1"/>
  <c r="M52" i="4"/>
  <c r="M53" i="4" s="1"/>
  <c r="N97" i="6"/>
  <c r="N98" i="6" s="1"/>
  <c r="N98" i="7"/>
  <c r="N35" i="6"/>
  <c r="N37" i="6" s="1"/>
  <c r="K31" i="3"/>
  <c r="N59" i="7"/>
  <c r="N61" i="7" s="1"/>
  <c r="N73" i="7" s="1"/>
  <c r="N76" i="7" s="1"/>
  <c r="N80" i="7" s="1"/>
  <c r="N84" i="7" s="1"/>
  <c r="I32" i="3"/>
  <c r="I33" i="3" s="1"/>
  <c r="I27" i="3"/>
  <c r="I14" i="3"/>
  <c r="I13" i="3"/>
  <c r="K36" i="3"/>
  <c r="K40" i="3" s="1"/>
  <c r="N50" i="6"/>
  <c r="N91" i="7"/>
  <c r="N89" i="6"/>
  <c r="N91" i="6" l="1"/>
  <c r="N51" i="4"/>
  <c r="N93" i="7"/>
  <c r="N53" i="6"/>
  <c r="N25" i="4"/>
  <c r="N20" i="4"/>
  <c r="N55" i="6"/>
  <c r="N59" i="6" s="1"/>
  <c r="N61" i="6" s="1"/>
  <c r="N73" i="6" s="1"/>
  <c r="N76" i="6" s="1"/>
  <c r="N80" i="6" s="1"/>
  <c r="M73" i="4"/>
  <c r="M75" i="4" s="1"/>
  <c r="M56" i="4"/>
  <c r="M64" i="4"/>
  <c r="J12" i="3" l="1"/>
  <c r="M65" i="4"/>
  <c r="J25" i="3"/>
  <c r="M58" i="4"/>
  <c r="N84" i="6"/>
  <c r="N93" i="6" s="1"/>
  <c r="N52" i="4"/>
  <c r="N53" i="4" s="1"/>
  <c r="N22" i="4"/>
  <c r="O20" i="4"/>
  <c r="O22" i="4" s="1"/>
  <c r="N27" i="4"/>
  <c r="O25" i="4"/>
  <c r="O27" i="4" s="1"/>
  <c r="N64" i="4" l="1"/>
  <c r="N73" i="4"/>
  <c r="N75" i="4" s="1"/>
  <c r="N56" i="4"/>
  <c r="J32" i="3"/>
  <c r="J33" i="3" s="1"/>
  <c r="J27" i="3"/>
  <c r="J14" i="3"/>
  <c r="J13" i="3"/>
  <c r="N58" i="4" l="1"/>
  <c r="K25" i="3"/>
  <c r="K12" i="3"/>
  <c r="N65" i="4"/>
  <c r="K14" i="3" l="1"/>
  <c r="K13" i="3"/>
  <c r="K32" i="3"/>
  <c r="K33" i="3" s="1"/>
  <c r="K27" i="3"/>
</calcChain>
</file>

<file path=xl/sharedStrings.xml><?xml version="1.0" encoding="utf-8"?>
<sst xmlns="http://schemas.openxmlformats.org/spreadsheetml/2006/main" count="1134" uniqueCount="323">
  <si>
    <t>Input assumptions for data not included in Long Term Plans</t>
  </si>
  <si>
    <t>Assumption input</t>
  </si>
  <si>
    <t>Drinking water</t>
  </si>
  <si>
    <t>Wastewater</t>
  </si>
  <si>
    <t>Stormwater</t>
  </si>
  <si>
    <t>Water Serv</t>
  </si>
  <si>
    <t>Rating units (rateable properties) / number connections (2023/24)</t>
  </si>
  <si>
    <t>Annual growth rate (in connections / ratable properties)</t>
  </si>
  <si>
    <t>Percentage of rates attibutable to residential customers</t>
  </si>
  <si>
    <t>Infrastructure Assets - Cost (30 June 2024)</t>
  </si>
  <si>
    <t>Infrastructure Assets - Accumlated Depreciation (30 June 2024)</t>
  </si>
  <si>
    <t>Cash and equivalents (at 30 June 2024)</t>
  </si>
  <si>
    <t>Borrowings (at 30 June 2024)</t>
  </si>
  <si>
    <t>Maximum debt to operating revenue (limit)</t>
  </si>
  <si>
    <t>Revaluation Reserve (30 June 2024)</t>
  </si>
  <si>
    <t>Infrastructure Assets - Replacement Cost (30 June 2024)</t>
  </si>
  <si>
    <t>Percentage of development contributions included</t>
  </si>
  <si>
    <t>LGFA FFO:debt covenant</t>
  </si>
  <si>
    <t>DEPRECIATION</t>
  </si>
  <si>
    <t>FY24/25</t>
  </si>
  <si>
    <t>FY25/26</t>
  </si>
  <si>
    <t>FY26/27</t>
  </si>
  <si>
    <t>FY27/28</t>
  </si>
  <si>
    <t>FY28/29</t>
  </si>
  <si>
    <t>FY29/30</t>
  </si>
  <si>
    <t>FY30/31</t>
  </si>
  <si>
    <t>FY31/32</t>
  </si>
  <si>
    <t>FY32/33</t>
  </si>
  <si>
    <t>FY33/34</t>
  </si>
  <si>
    <t>FY23/24</t>
  </si>
  <si>
    <t>Depreciation - drinking water</t>
  </si>
  <si>
    <t>Depreciation - wastewater</t>
  </si>
  <si>
    <t>Depreciation - stormwater</t>
  </si>
  <si>
    <t>REVALUATION MOVEMENTS</t>
  </si>
  <si>
    <t>Revaluation movements - drinking water</t>
  </si>
  <si>
    <t>Revaluation movements - wastewater</t>
  </si>
  <si>
    <t>Revaluation movements - stormwater</t>
  </si>
  <si>
    <t>REPLACEMENT VALUE</t>
  </si>
  <si>
    <t>Replacement value - drinking water</t>
  </si>
  <si>
    <t>Replacement value - wastewater</t>
  </si>
  <si>
    <t>Replacement value - stormwater</t>
  </si>
  <si>
    <t>Total replacement value</t>
  </si>
  <si>
    <t>BOOK VALUE</t>
  </si>
  <si>
    <t>Book value - drinking water</t>
  </si>
  <si>
    <t>Book value - wastewater</t>
  </si>
  <si>
    <t>Book value - stormwater</t>
  </si>
  <si>
    <t>Book value to replacement value - drinking water</t>
  </si>
  <si>
    <t>Book value to replacement value - wastewater</t>
  </si>
  <si>
    <t>Book value to replacement value - stormwater</t>
  </si>
  <si>
    <t>NUMBER OF CONNECTIONS</t>
  </si>
  <si>
    <t>Connections - drinking water</t>
  </si>
  <si>
    <t>Connections - wastewater</t>
  </si>
  <si>
    <t>Connections - stormwater</t>
  </si>
  <si>
    <t>MEDIAN HOUSEHOLD INCOME</t>
  </si>
  <si>
    <t>Projected median household income ($000)</t>
  </si>
  <si>
    <t>Water Services Delivery Plan Financial Template</t>
  </si>
  <si>
    <t>Projected financial statements required in Water Services Delivery Plans</t>
  </si>
  <si>
    <t>Water Services Delivery Plans ('Plans') require a minimum of ten year financial projections for water services - covering the financial years FY2024/25 - FY2033/34.</t>
  </si>
  <si>
    <t>This requires the following projected financial statements to be prepared and included in Plans:</t>
  </si>
  <si>
    <t xml:space="preserve">     •  
     •  
     •  
     •  </t>
  </si>
  <si>
    <t>Projected Funding Impact Statement (which councils already prepare in Long Term Plans);
Projected Statement of Comprehensive Revenue and Expense;
Projected Statement of Cashflows; and
Projected Statement of Financial Position.</t>
  </si>
  <si>
    <t>The projected financial statements are special purpose financial statements for the purpose of 'PBE FRS 42 – Prospective Financial Statements' and must be prepared for:</t>
  </si>
  <si>
    <r>
      <t xml:space="preserve">Drinking water activities - in section </t>
    </r>
    <r>
      <rPr>
        <b/>
        <i/>
        <sz val="11"/>
        <color rgb="FF00ABC5"/>
        <rFont val="Aptos Narrow"/>
        <family val="2"/>
        <scheme val="minor"/>
      </rPr>
      <t>'Ringfenced financial projections for drinking water'</t>
    </r>
    <r>
      <rPr>
        <sz val="11"/>
        <color theme="1"/>
        <rFont val="Aptos Narrow"/>
        <family val="2"/>
        <scheme val="minor"/>
      </rPr>
      <t xml:space="preserve"> of the Plan Template;
Wastewater activities - in section </t>
    </r>
    <r>
      <rPr>
        <b/>
        <i/>
        <sz val="11"/>
        <color rgb="FF00ABC5"/>
        <rFont val="Aptos Narrow"/>
        <family val="2"/>
        <scheme val="minor"/>
      </rPr>
      <t>'Ringfenced financial projections for wastewater'</t>
    </r>
    <r>
      <rPr>
        <sz val="11"/>
        <color theme="1"/>
        <rFont val="Aptos Narrow"/>
        <family val="2"/>
        <scheme val="minor"/>
      </rPr>
      <t xml:space="preserve">; 
Stormwater activities - in section </t>
    </r>
    <r>
      <rPr>
        <b/>
        <i/>
        <sz val="11"/>
        <color rgb="FF00ABC5"/>
        <rFont val="Aptos Narrow"/>
        <family val="2"/>
        <scheme val="minor"/>
      </rPr>
      <t>'Ringfenced financial projections for stormwater'</t>
    </r>
    <r>
      <rPr>
        <sz val="11"/>
        <color theme="1"/>
        <rFont val="Aptos Narrow"/>
        <family val="2"/>
        <scheme val="minor"/>
      </rPr>
      <t xml:space="preserve">; and
Consolidated water activities, being the summation of drinking water, wastewater and stormwater activities - in section </t>
    </r>
    <r>
      <rPr>
        <b/>
        <i/>
        <sz val="11"/>
        <color rgb="FF00ABC5"/>
        <rFont val="Aptos Narrow"/>
        <family val="2"/>
        <scheme val="minor"/>
      </rPr>
      <t>'Projected financial statements - combined water services'</t>
    </r>
    <r>
      <rPr>
        <sz val="11"/>
        <color theme="1"/>
        <rFont val="Aptos Narrow"/>
        <family val="2"/>
        <scheme val="minor"/>
      </rPr>
      <t>.</t>
    </r>
  </si>
  <si>
    <t>Projected financial statements should comply with the following principles:</t>
  </si>
  <si>
    <t xml:space="preserve">     •  
     •  
     •         
     •  
     •  
     •  
     •  
     •  </t>
  </si>
  <si>
    <t>Prospective Statements of Comprehensive Revenue and Expense should reflect income and expenditure from the funding impact statement but include non-cash movements such as depreciation and revaluation adjustments.
Prospective Statements of Financial Position should separately identify cash, assets, liabilities and equity for the particular water service;
Prospective Statements of Cashflows should be reconcilable with the cash movements in the prospective funding impact statement.
The financial statements should be consistent and reconcilable – for example: 
     •  the statement of financial position should ‘balance’; 
     •  movements in cash reserves in the FIS should reflect the movement in cash reserves.
Revenues for each water service should be separately identifiable from other council revenues.
Revenues generated for water services should fund expenditure on water services, not other council business.
Any cash surpluses generated for water services should be retained for future expenditure on water services.
Internal borrowings should be short-dated, commercial arrangements to enable cash repayment when the funds are required for water services expenditure or investment.</t>
  </si>
  <si>
    <t>Financial measures to support the 'Financial Sustainability Assessment'</t>
  </si>
  <si>
    <t>Plans must include a council self-assessment of the financial sustainability of their water services delivery. Plans should aim to ‘achieve’ financial sustainability by 30 June 2028 at the latest.</t>
  </si>
  <si>
    <t>Financial sustainability is not an absolute test. In order to assist with this assessment, Plans ask councils to consider three factors to assist the determination of whether water services delivery is financially sustainable.</t>
  </si>
  <si>
    <t>These factors are:</t>
  </si>
  <si>
    <t xml:space="preserve">     •  
     •  
     •  </t>
  </si>
  <si>
    <r>
      <rPr>
        <b/>
        <sz val="11"/>
        <color rgb="FF0070C0"/>
        <rFont val="Aptos Narrow"/>
        <family val="2"/>
        <scheme val="minor"/>
      </rPr>
      <t>Revenue sufficiency</t>
    </r>
    <r>
      <rPr>
        <b/>
        <sz val="11"/>
        <color rgb="FF00ABC5"/>
        <rFont val="Aptos Narrow"/>
        <family val="2"/>
        <scheme val="minor"/>
      </rPr>
      <t xml:space="preserve"> </t>
    </r>
    <r>
      <rPr>
        <sz val="11"/>
        <color theme="1"/>
        <rFont val="Aptos Narrow"/>
        <family val="2"/>
        <scheme val="minor"/>
      </rPr>
      <t xml:space="preserve">– is there sufficient revenue to cover the costs (including servicing debt) of water services delivery?
</t>
    </r>
    <r>
      <rPr>
        <b/>
        <sz val="11"/>
        <color rgb="FF0070C0"/>
        <rFont val="Aptos Narrow"/>
        <family val="2"/>
        <scheme val="minor"/>
      </rPr>
      <t xml:space="preserve">Investment sufficiency </t>
    </r>
    <r>
      <rPr>
        <sz val="11"/>
        <color theme="1"/>
        <rFont val="Aptos Narrow"/>
        <family val="2"/>
        <scheme val="minor"/>
      </rPr>
      <t xml:space="preserve">– is the projected level of investment sufficient to meet regulatory requirements and provide for growth?
</t>
    </r>
    <r>
      <rPr>
        <b/>
        <sz val="11"/>
        <color rgb="FF0070C0"/>
        <rFont val="Aptos Narrow"/>
        <family val="2"/>
        <scheme val="minor"/>
      </rPr>
      <t>Financing sufficiency</t>
    </r>
    <r>
      <rPr>
        <b/>
        <sz val="11"/>
        <color rgb="FF00ABC5"/>
        <rFont val="Aptos Narrow"/>
        <family val="2"/>
        <scheme val="minor"/>
      </rPr>
      <t xml:space="preserve"> </t>
    </r>
    <r>
      <rPr>
        <sz val="11"/>
        <color theme="1"/>
        <rFont val="Aptos Narrow"/>
        <family val="2"/>
        <scheme val="minor"/>
      </rPr>
      <t>– are funding and finance arrangements sufficient to meet investment requirements?</t>
    </r>
  </si>
  <si>
    <t>A series of performance indicators for each component has been developed to assist with assessment. The intention is that these measures will indicate whether there is sufficient revenue, investment and financing within a Plan.</t>
  </si>
  <si>
    <t>The financial sustainability assessment is to be undertaken on water services in aggregate (being the summation of drinking water, wastewater and stormwater financial projections); however, in completing this assessment councils should consider the financial sustainability test measures for each individual water service.</t>
  </si>
  <si>
    <r>
      <t xml:space="preserve">The </t>
    </r>
    <r>
      <rPr>
        <b/>
        <sz val="11"/>
        <color rgb="FF0070C0"/>
        <rFont val="Aptos Narrow"/>
        <family val="2"/>
        <scheme val="minor"/>
      </rPr>
      <t xml:space="preserve">revenue sufficiency test </t>
    </r>
    <r>
      <rPr>
        <sz val="11"/>
        <color theme="1"/>
        <rFont val="Aptos Narrow"/>
        <family val="2"/>
        <scheme val="minor"/>
      </rPr>
      <t>asks councils to confirm:</t>
    </r>
  </si>
  <si>
    <t xml:space="preserve">     •  
     •
     •    </t>
  </si>
  <si>
    <t>That projected revenues are sufficient to cover the costs (including servicing debt) of water services delivery;
That projected revenues are sufficient to finance the required level of investment; and
Whether projected revenues have been assessed as meeting the ‘revenue sufficiency’ test.</t>
  </si>
  <si>
    <r>
      <t xml:space="preserve">The </t>
    </r>
    <r>
      <rPr>
        <b/>
        <sz val="11"/>
        <color rgb="FF0070C0"/>
        <rFont val="Aptos Narrow"/>
        <family val="2"/>
        <scheme val="minor"/>
      </rPr>
      <t xml:space="preserve">investment sufficiency test </t>
    </r>
    <r>
      <rPr>
        <sz val="11"/>
        <color theme="1"/>
        <rFont val="Aptos Narrow"/>
        <family val="2"/>
        <scheme val="minor"/>
      </rPr>
      <t>asks councils to confirm:</t>
    </r>
  </si>
  <si>
    <t>That the proposed level of investment is sufficient to meet levels of service, regulatory requirements and provide for growth;
That the proposed level of investment is fully funded by projected revenues and access to financing; and
Confirm that projected levels of investment have been assessed as meeting the ‘revenue sufficiency’ test.</t>
  </si>
  <si>
    <r>
      <t xml:space="preserve">The </t>
    </r>
    <r>
      <rPr>
        <b/>
        <sz val="11"/>
        <color rgb="FF0070C0"/>
        <rFont val="Aptos Narrow"/>
        <family val="2"/>
        <scheme val="minor"/>
      </rPr>
      <t xml:space="preserve">financing sufficiency test </t>
    </r>
    <r>
      <rPr>
        <sz val="11"/>
        <color theme="1"/>
        <rFont val="Aptos Narrow"/>
        <family val="2"/>
        <scheme val="minor"/>
      </rPr>
      <t>asks councils to confirm:</t>
    </r>
  </si>
  <si>
    <t>Whether projected total council borrowings are within council borrowing limits;
Whether projected water services borrowings are within the council-determined limit for water services borrowing; and
That that the required levels of borrowings can be sourced; and
That the Plan meets the ‘financing sufficiency’ test.</t>
  </si>
  <si>
    <t>Purpose of this template</t>
  </si>
  <si>
    <t>This template is to assist councils in developing the financial projections required in Plans, as well as the population of financial measures and charts required in the Financial Sustainability Assessment.</t>
  </si>
  <si>
    <r>
      <rPr>
        <b/>
        <sz val="11"/>
        <color rgb="FF00ABC5"/>
        <rFont val="Aptos Narrow"/>
        <family val="2"/>
        <scheme val="minor"/>
      </rPr>
      <t>1. Charts</t>
    </r>
    <r>
      <rPr>
        <sz val="11"/>
        <color rgb="FF000000"/>
        <rFont val="Aptos Narrow"/>
        <family val="2"/>
        <scheme val="minor"/>
      </rPr>
      <t xml:space="preserve"> - this sheet is to populate input data to create the charts required in the </t>
    </r>
    <r>
      <rPr>
        <b/>
        <i/>
        <sz val="11"/>
        <color rgb="FF00ABC5"/>
        <rFont val="Aptos Narrow"/>
        <family val="2"/>
        <scheme val="minor"/>
      </rPr>
      <t>'Financial Sustainability'</t>
    </r>
    <r>
      <rPr>
        <i/>
        <sz val="11"/>
        <color rgb="FF000000"/>
        <rFont val="Aptos Narrow"/>
        <family val="2"/>
        <scheme val="minor"/>
      </rPr>
      <t xml:space="preserve"> </t>
    </r>
    <r>
      <rPr>
        <sz val="11"/>
        <color rgb="FF000000"/>
        <rFont val="Aptos Narrow"/>
        <family val="2"/>
        <scheme val="minor"/>
      </rPr>
      <t>sections of the Plan Template.</t>
    </r>
  </si>
  <si>
    <t>The charts are:</t>
  </si>
  <si>
    <t xml:space="preserve">     •  </t>
  </si>
  <si>
    <r>
      <rPr>
        <b/>
        <sz val="11"/>
        <color rgb="FF0070C0"/>
        <rFont val="Aptos Narrow"/>
        <family val="2"/>
        <scheme val="minor"/>
      </rPr>
      <t>Projected water services revenue and expenses</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waters services revenues and costs, as well as projected net surpluses or deficits in section </t>
    </r>
    <r>
      <rPr>
        <b/>
        <i/>
        <sz val="11"/>
        <color rgb="FF00ABC5"/>
        <rFont val="Aptos Narrow"/>
        <family val="2"/>
        <scheme val="minor"/>
      </rPr>
      <t>'Financial sustainability assessment- Revenue Sufficiency'</t>
    </r>
    <r>
      <rPr>
        <sz val="11"/>
        <color theme="1"/>
        <rFont val="Aptos Narrow"/>
        <family val="2"/>
        <scheme val="minor"/>
      </rPr>
      <t>;</t>
    </r>
  </si>
  <si>
    <r>
      <rPr>
        <b/>
        <sz val="11"/>
        <color rgb="FF0070C0"/>
        <rFont val="Aptos Narrow"/>
        <family val="2"/>
        <scheme val="minor"/>
      </rPr>
      <t>Projected water services investment requirements</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investment split between renewals, improving levels of service and growth, and compares this level of investment to projected depreciation charges - in section </t>
    </r>
    <r>
      <rPr>
        <b/>
        <i/>
        <sz val="11"/>
        <color rgb="FF00ABC5"/>
        <rFont val="Aptos Narrow"/>
        <family val="2"/>
        <scheme val="minor"/>
      </rPr>
      <t>'Financial sustainability assessment- Investment Sufficiency'</t>
    </r>
    <r>
      <rPr>
        <sz val="11"/>
        <color theme="1"/>
        <rFont val="Aptos Narrow"/>
        <family val="2"/>
        <scheme val="minor"/>
      </rPr>
      <t>;</t>
    </r>
  </si>
  <si>
    <r>
      <rPr>
        <b/>
        <sz val="11"/>
        <color rgb="FF0070C0"/>
        <rFont val="Aptos Narrow"/>
        <family val="2"/>
        <scheme val="minor"/>
      </rPr>
      <t>Projected council net debt to operating revenue</t>
    </r>
    <r>
      <rPr>
        <sz val="11"/>
        <rFont val="Aptos Narrow"/>
        <family val="2"/>
        <scheme val="minor"/>
      </rPr>
      <t xml:space="preserve"> - </t>
    </r>
    <r>
      <rPr>
        <sz val="11"/>
        <color theme="1"/>
        <rFont val="Aptos Narrow"/>
        <family val="2"/>
        <scheme val="minor"/>
      </rPr>
      <t xml:space="preserve">shows projected council net debt and operating revenues, and net debt to operating revenue against borrowing limits - in section </t>
    </r>
    <r>
      <rPr>
        <b/>
        <i/>
        <sz val="11"/>
        <color rgb="FF00ABC5"/>
        <rFont val="Aptos Narrow"/>
        <family val="2"/>
        <scheme val="minor"/>
      </rPr>
      <t>'Financial sustainability assessment- Financing Sufficiency'</t>
    </r>
    <r>
      <rPr>
        <sz val="11"/>
        <color theme="1"/>
        <rFont val="Aptos Narrow"/>
        <family val="2"/>
        <scheme val="minor"/>
      </rPr>
      <t>; and</t>
    </r>
  </si>
  <si>
    <r>
      <rPr>
        <b/>
        <sz val="11"/>
        <color rgb="FF0070C0"/>
        <rFont val="Aptos Narrow"/>
        <family val="2"/>
        <scheme val="minor"/>
      </rPr>
      <t>Projected water services net debt to operating revenue</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waters services net debt and operating revenues, and net debt to operating revenue against borrowing limits - in section </t>
    </r>
    <r>
      <rPr>
        <b/>
        <i/>
        <sz val="11"/>
        <color rgb="FF00ABC5"/>
        <rFont val="Aptos Narrow"/>
        <family val="2"/>
        <scheme val="minor"/>
      </rPr>
      <t>'Financial sustainability assessment- Financing Sufficiency'.</t>
    </r>
  </si>
  <si>
    <r>
      <rPr>
        <b/>
        <sz val="11"/>
        <color rgb="FF00ABC5"/>
        <rFont val="Aptos Narrow"/>
        <family val="2"/>
        <scheme val="minor"/>
      </rPr>
      <t>2. Measures</t>
    </r>
    <r>
      <rPr>
        <sz val="11"/>
        <color rgb="FF000000"/>
        <rFont val="Aptos Narrow"/>
        <family val="2"/>
        <scheme val="minor"/>
      </rPr>
      <t xml:space="preserve"> - this sheet is to populate input data for performance measures required in the </t>
    </r>
    <r>
      <rPr>
        <b/>
        <i/>
        <sz val="11"/>
        <color rgb="FF00ABC5"/>
        <rFont val="Aptos Narrow"/>
        <family val="2"/>
        <scheme val="minor"/>
      </rPr>
      <t>'Financial Sustainability'</t>
    </r>
    <r>
      <rPr>
        <i/>
        <sz val="11"/>
        <color rgb="FF000000"/>
        <rFont val="Aptos Narrow"/>
        <family val="2"/>
        <scheme val="minor"/>
      </rPr>
      <t xml:space="preserve"> </t>
    </r>
    <r>
      <rPr>
        <sz val="11"/>
        <color rgb="FF000000"/>
        <rFont val="Aptos Narrow"/>
        <family val="2"/>
        <scheme val="minor"/>
      </rPr>
      <t>sections of the Plan Template.</t>
    </r>
  </si>
  <si>
    <t>Revenue sufficiency measures:</t>
  </si>
  <si>
    <r>
      <rPr>
        <b/>
        <sz val="11"/>
        <color rgb="FF0070C0"/>
        <rFont val="Aptos Narrow"/>
        <family val="2"/>
        <scheme val="minor"/>
      </rPr>
      <t>Projected average water charges per connection</t>
    </r>
    <r>
      <rPr>
        <b/>
        <sz val="11"/>
        <color theme="1"/>
        <rFont val="Aptos Narrow"/>
        <family val="2"/>
        <scheme val="minor"/>
      </rPr>
      <t xml:space="preserve"> </t>
    </r>
    <r>
      <rPr>
        <sz val="11"/>
        <color theme="1"/>
        <rFont val="Aptos Narrow"/>
        <family val="2"/>
        <scheme val="minor"/>
      </rPr>
      <t>- average charges per connection for each water service, and total for water services, inclusive of GST; and year on year increases in average charges per connection.</t>
    </r>
  </si>
  <si>
    <r>
      <rPr>
        <b/>
        <sz val="11"/>
        <color rgb="FF0070C0"/>
        <rFont val="Aptos Narrow"/>
        <family val="2"/>
        <scheme val="minor"/>
      </rPr>
      <t>Water services charges as a percentage of median household income</t>
    </r>
    <r>
      <rPr>
        <sz val="11"/>
        <color theme="1"/>
        <rFont val="Aptos Narrow"/>
        <family val="2"/>
        <scheme val="minor"/>
      </rPr>
      <t xml:space="preserve"> - average household water bills for water services divided by projected median household income.</t>
    </r>
  </si>
  <si>
    <r>
      <rPr>
        <b/>
        <sz val="11"/>
        <color rgb="FF0070C0"/>
        <rFont val="Aptos Narrow"/>
        <family val="2"/>
        <scheme val="minor"/>
      </rPr>
      <t>Operating surplus ratio</t>
    </r>
    <r>
      <rPr>
        <sz val="11"/>
        <color theme="1"/>
        <rFont val="Aptos Narrow"/>
        <family val="2"/>
        <scheme val="minor"/>
      </rPr>
      <t xml:space="preserve"> - Operating surplus (excluding capital revenues) divided by operating revenues. This measures whether operating revenues cover operating expenses. A negative percentage indicates the percentage increase required for operating revenues to fully cover operating expenses.</t>
    </r>
  </si>
  <si>
    <r>
      <rPr>
        <b/>
        <sz val="11"/>
        <color rgb="FF0070C0"/>
        <rFont val="Aptos Narrow"/>
        <family val="2"/>
        <scheme val="minor"/>
      </rPr>
      <t>Operating cash ratio</t>
    </r>
    <r>
      <rPr>
        <sz val="11"/>
        <color rgb="FF0070C0"/>
        <rFont val="Aptos Narrow"/>
        <family val="2"/>
        <scheme val="minor"/>
      </rPr>
      <t xml:space="preserve"> </t>
    </r>
    <r>
      <rPr>
        <sz val="11"/>
        <color theme="1"/>
        <rFont val="Aptos Narrow"/>
        <family val="2"/>
        <scheme val="minor"/>
      </rPr>
      <t>- Operating surplus plus depreciation plus interests costs minus capital revenues, divided by operating revenue. This measures how much cash is generated from operating revenues once cash operating costs are deducted.</t>
    </r>
  </si>
  <si>
    <t>Investment sufficiency measures:</t>
  </si>
  <si>
    <r>
      <rPr>
        <b/>
        <sz val="11"/>
        <color rgb="FF0070C0"/>
        <rFont val="Aptos Narrow"/>
        <family val="2"/>
        <scheme val="minor"/>
      </rPr>
      <t>Asset sustainability ratio</t>
    </r>
    <r>
      <rPr>
        <sz val="11"/>
        <color theme="1"/>
        <rFont val="Aptos Narrow"/>
        <family val="2"/>
        <scheme val="minor"/>
      </rPr>
      <t xml:space="preserve"> - Capital expenditure on renewals divided by depreciation, minus 1. This assesses whether projected renewals investment is more or less than projected depreciation, and is an indicator as to whether the renewals programme is replacing network assets in line with the rate of asset deterioration.</t>
    </r>
  </si>
  <si>
    <r>
      <rPr>
        <b/>
        <sz val="11"/>
        <color rgb="FF0070C0"/>
        <rFont val="Aptos Narrow"/>
        <family val="2"/>
        <scheme val="minor"/>
      </rPr>
      <t>Asset investment ratio</t>
    </r>
    <r>
      <rPr>
        <sz val="11"/>
        <color theme="1"/>
        <rFont val="Aptos Narrow"/>
        <family val="2"/>
        <scheme val="minor"/>
      </rPr>
      <t xml:space="preserve"> - Total capital expenditure divided by depreciation, minus 1. This compares total investment to projected depreciation.</t>
    </r>
  </si>
  <si>
    <r>
      <rPr>
        <b/>
        <sz val="11"/>
        <color rgb="FF0070C0"/>
        <rFont val="Aptos Narrow"/>
        <family val="2"/>
        <scheme val="minor"/>
      </rPr>
      <t>Asset consumption ratio</t>
    </r>
    <r>
      <rPr>
        <sz val="11"/>
        <color theme="1"/>
        <rFont val="Aptos Narrow"/>
        <family val="2"/>
        <scheme val="minor"/>
      </rPr>
      <t xml:space="preserve"> - Book value of infrastructure assets divided by replacement value of infrastructure assets. This represents the average remaining useful life of network assets. If this ratio materially reduces over time, then this means that the burden on future consumers to replace network assets is increasing.</t>
    </r>
  </si>
  <si>
    <t>Financing sufficiency measures:</t>
  </si>
  <si>
    <r>
      <rPr>
        <b/>
        <sz val="11"/>
        <color rgb="FF0070C0"/>
        <rFont val="Aptos Narrow"/>
        <family val="2"/>
        <scheme val="minor"/>
      </rPr>
      <t>Net debt to operating revenue ratio</t>
    </r>
    <r>
      <rPr>
        <sz val="11"/>
        <color theme="1"/>
        <rFont val="Aptos Narrow"/>
        <family val="2"/>
        <scheme val="minor"/>
      </rPr>
      <t xml:space="preserve"> - gross borrowings minus cash and equivalents, divided by operating revenue.</t>
    </r>
  </si>
  <si>
    <r>
      <rPr>
        <b/>
        <sz val="11"/>
        <color rgb="FF0070C0"/>
        <rFont val="Aptos Narrow"/>
        <family val="2"/>
        <scheme val="minor"/>
      </rPr>
      <t>Borrowing headroom/(shortfall) for water services</t>
    </r>
    <r>
      <rPr>
        <b/>
        <sz val="11"/>
        <color theme="1"/>
        <rFont val="Aptos Narrow"/>
        <family val="2"/>
        <scheme val="minor"/>
      </rPr>
      <t xml:space="preserve"> </t>
    </r>
    <r>
      <rPr>
        <sz val="11"/>
        <color theme="1"/>
        <rFont val="Aptos Narrow"/>
        <family val="2"/>
        <scheme val="minor"/>
      </rPr>
      <t>- Maximum allowable net debt at borrowing limit (operating revenue multiplied by ‘net debt to operating revenue limit for water services’) minus projected net debt attributed to water services. This shows whether projected borrowings are within borrowing limits, as well as the ability to borrow for unforeseen events. A positive number equates to the additional amount of borrowings that could be taken on at current revenue levels, without exceeding borrowing limits. A negative number means borrowings exceed the borrowing limit.</t>
    </r>
  </si>
  <si>
    <r>
      <rPr>
        <b/>
        <sz val="11"/>
        <color rgb="FF0070C0"/>
        <rFont val="Aptos Narrow"/>
        <family val="2"/>
        <scheme val="minor"/>
      </rPr>
      <t>Free funds from operations to net debt</t>
    </r>
    <r>
      <rPr>
        <sz val="11"/>
        <color rgb="FF0070C0"/>
        <rFont val="Aptos Narrow"/>
        <family val="2"/>
        <scheme val="minor"/>
      </rPr>
      <t xml:space="preserve"> </t>
    </r>
    <r>
      <rPr>
        <sz val="11"/>
        <color theme="1"/>
        <rFont val="Aptos Narrow"/>
        <family val="2"/>
        <scheme val="minor"/>
      </rPr>
      <t xml:space="preserve">- Free funds from operations for water services (operating revenue minus operating expenses plus depreciation and other non-cash expenses, less interest revenue), divided by net debt (gross borrowings minus cash and equivalents). Operating revenue has been used as a proxy for simplicity - councils may wish to modify this to LGFA's definition of revenue (“Cash earnings from rates, grants and subsidies, user charges, interest, dividends, financial and other revenue and excludes non-government capital contributions (e.g. developer contributions and vested assets)”).
</t>
    </r>
  </si>
  <si>
    <r>
      <rPr>
        <b/>
        <sz val="11"/>
        <color rgb="FF00ABC5"/>
        <rFont val="Aptos Narrow"/>
        <family val="2"/>
        <scheme val="minor"/>
      </rPr>
      <t>3. Investment</t>
    </r>
    <r>
      <rPr>
        <sz val="11"/>
        <color rgb="FF000000"/>
        <rFont val="Aptos Narrow"/>
        <family val="2"/>
        <scheme val="minor"/>
      </rPr>
      <t xml:space="preserve"> - this sheet is to populate input data for investment disclosures in the Plan Template. </t>
    </r>
  </si>
  <si>
    <r>
      <rPr>
        <b/>
        <sz val="11"/>
        <color rgb="FF0070C0"/>
        <rFont val="Aptos Narrow"/>
        <family val="2"/>
        <scheme val="minor"/>
      </rPr>
      <t>Projected investment in water services</t>
    </r>
    <r>
      <rPr>
        <sz val="11"/>
        <color theme="1"/>
        <rFont val="Aptos Narrow"/>
        <family val="2"/>
        <scheme val="minor"/>
      </rPr>
      <t xml:space="preserve"> - summarises projected investment for each water service - in section </t>
    </r>
    <r>
      <rPr>
        <b/>
        <i/>
        <sz val="11"/>
        <color rgb="FF00ABC5"/>
        <rFont val="Aptos Narrow"/>
        <family val="2"/>
        <scheme val="minor"/>
      </rPr>
      <t>'Projected investment in water services infrastructure'</t>
    </r>
    <r>
      <rPr>
        <sz val="11"/>
        <color theme="1"/>
        <rFont val="Aptos Narrow"/>
        <family val="2"/>
        <scheme val="minor"/>
      </rPr>
      <t>.</t>
    </r>
  </si>
  <si>
    <r>
      <rPr>
        <b/>
        <sz val="11"/>
        <color rgb="FF0070C0"/>
        <rFont val="Aptos Narrow"/>
        <family val="2"/>
        <scheme val="minor"/>
      </rPr>
      <t>Delivery against targets</t>
    </r>
    <r>
      <rPr>
        <sz val="11"/>
        <color theme="1"/>
        <rFont val="Aptos Narrow"/>
        <family val="2"/>
        <scheme val="minor"/>
      </rPr>
      <t xml:space="preserve"> - demonstrates historical delivery against planned investment from FY18/19 to FY24/25 - in section </t>
    </r>
    <r>
      <rPr>
        <b/>
        <i/>
        <sz val="11"/>
        <color rgb="FF00ABC5"/>
        <rFont val="Aptos Narrow"/>
        <family val="2"/>
        <scheme val="minor"/>
      </rPr>
      <t xml:space="preserve">'Delivery against planned investment' </t>
    </r>
    <r>
      <rPr>
        <sz val="11"/>
        <color theme="1"/>
        <rFont val="Aptos Narrow"/>
        <family val="2"/>
        <scheme val="minor"/>
      </rPr>
      <t xml:space="preserve">under </t>
    </r>
    <r>
      <rPr>
        <b/>
        <i/>
        <sz val="11"/>
        <color rgb="FF00ABC5"/>
        <rFont val="Aptos Narrow"/>
        <family val="2"/>
        <scheme val="minor"/>
      </rPr>
      <t>'Assessment of investment sufficiency'</t>
    </r>
    <r>
      <rPr>
        <sz val="11"/>
        <color theme="1"/>
        <rFont val="Aptos Narrow"/>
        <family val="2"/>
        <scheme val="minor"/>
      </rPr>
      <t>.</t>
    </r>
  </si>
  <si>
    <r>
      <rPr>
        <b/>
        <sz val="11"/>
        <color rgb="FF0070C0"/>
        <rFont val="Aptos Narrow"/>
        <family val="2"/>
        <scheme val="minor"/>
      </rPr>
      <t>Significant capital projects for drinking water</t>
    </r>
    <r>
      <rPr>
        <sz val="11"/>
        <color theme="1"/>
        <rFont val="Aptos Narrow"/>
        <family val="2"/>
        <scheme val="minor"/>
      </rPr>
      <t xml:space="preserve"> - disclosure of material drinking water investment projects - in section </t>
    </r>
    <r>
      <rPr>
        <b/>
        <i/>
        <sz val="11"/>
        <color rgb="FF00ABC5"/>
        <rFont val="Aptos Narrow"/>
        <family val="2"/>
        <scheme val="minor"/>
      </rPr>
      <t>'Significant Capital Projects - drinking water'</t>
    </r>
    <r>
      <rPr>
        <sz val="11"/>
        <color theme="1"/>
        <rFont val="Aptos Narrow"/>
        <family val="2"/>
        <scheme val="minor"/>
      </rPr>
      <t>.</t>
    </r>
  </si>
  <si>
    <r>
      <rPr>
        <b/>
        <sz val="11"/>
        <color rgb="FF0070C0"/>
        <rFont val="Aptos Narrow"/>
        <family val="2"/>
        <scheme val="minor"/>
      </rPr>
      <t>Significant capital projects for wastewater</t>
    </r>
    <r>
      <rPr>
        <sz val="11"/>
        <color theme="1"/>
        <rFont val="Aptos Narrow"/>
        <family val="2"/>
        <scheme val="minor"/>
      </rPr>
      <t xml:space="preserve"> - disclosure of material wastewater investment projects - in section </t>
    </r>
    <r>
      <rPr>
        <b/>
        <i/>
        <sz val="11"/>
        <color rgb="FF00ABC5"/>
        <rFont val="Aptos Narrow"/>
        <family val="2"/>
        <scheme val="minor"/>
      </rPr>
      <t>'Significant Capital Projects - wastewater'</t>
    </r>
    <r>
      <rPr>
        <sz val="11"/>
        <color theme="1"/>
        <rFont val="Aptos Narrow"/>
        <family val="2"/>
        <scheme val="minor"/>
      </rPr>
      <t>.</t>
    </r>
  </si>
  <si>
    <r>
      <rPr>
        <b/>
        <sz val="11"/>
        <color rgb="FF0070C0"/>
        <rFont val="Aptos Narrow"/>
        <family val="2"/>
        <scheme val="minor"/>
      </rPr>
      <t>Significant capital projects for stormwater</t>
    </r>
    <r>
      <rPr>
        <sz val="11"/>
        <color theme="1"/>
        <rFont val="Aptos Narrow"/>
        <family val="2"/>
        <scheme val="minor"/>
      </rPr>
      <t xml:space="preserve"> - disclosure of material stormwater investment projects - in section </t>
    </r>
    <r>
      <rPr>
        <b/>
        <i/>
        <sz val="11"/>
        <color rgb="FF00ABC5"/>
        <rFont val="Aptos Narrow"/>
        <family val="2"/>
        <scheme val="minor"/>
      </rPr>
      <t>'Significant Capital Projects - stormwater'</t>
    </r>
    <r>
      <rPr>
        <sz val="11"/>
        <color theme="1"/>
        <rFont val="Aptos Narrow"/>
        <family val="2"/>
        <scheme val="minor"/>
      </rPr>
      <t>.</t>
    </r>
  </si>
  <si>
    <r>
      <rPr>
        <b/>
        <sz val="11"/>
        <color rgb="FF00ABC5"/>
        <rFont val="Aptos Narrow"/>
        <family val="2"/>
        <scheme val="minor"/>
      </rPr>
      <t>4. Financials - water services</t>
    </r>
    <r>
      <rPr>
        <sz val="11"/>
        <color rgb="FF000000"/>
        <rFont val="Aptos Narrow"/>
        <family val="2"/>
        <scheme val="minor"/>
      </rPr>
      <t xml:space="preserve"> - this sheet is to aggregate financial data for drinking water, wastewater and stormwater activities.</t>
    </r>
  </si>
  <si>
    <t>Projected Funding Impact Statement;</t>
  </si>
  <si>
    <t>Projected Statement of Comprehensive Revenue and Expense;</t>
  </si>
  <si>
    <t>Projected Statement of Cashflows; and</t>
  </si>
  <si>
    <t>Projected Statement of Financial Position.</t>
  </si>
  <si>
    <r>
      <rPr>
        <b/>
        <sz val="11"/>
        <color rgb="FF00ABC5"/>
        <rFont val="Aptos Narrow"/>
        <family val="2"/>
        <scheme val="minor"/>
      </rPr>
      <t>5. Financials - drinking water</t>
    </r>
    <r>
      <rPr>
        <sz val="11"/>
        <color rgb="FF000000"/>
        <rFont val="Aptos Narrow"/>
        <family val="2"/>
        <scheme val="minor"/>
      </rPr>
      <t xml:space="preserve"> - this sheet is to assist with the presentation of projected financial statements for drinking water.</t>
    </r>
  </si>
  <si>
    <r>
      <rPr>
        <b/>
        <sz val="11"/>
        <color rgb="FF00ABC5"/>
        <rFont val="Aptos Narrow"/>
        <family val="2"/>
        <scheme val="minor"/>
      </rPr>
      <t>6. Financials - wastewater</t>
    </r>
    <r>
      <rPr>
        <sz val="11"/>
        <color rgb="FF000000"/>
        <rFont val="Aptos Narrow"/>
        <family val="2"/>
        <scheme val="minor"/>
      </rPr>
      <t xml:space="preserve"> - this sheet is to assist with the presentation of projected financial statements for wastewater.</t>
    </r>
  </si>
  <si>
    <r>
      <rPr>
        <b/>
        <sz val="11"/>
        <color rgb="FF00ABC5"/>
        <rFont val="Aptos Narrow"/>
        <family val="2"/>
        <scheme val="minor"/>
      </rPr>
      <t>7. Financials - stormwater</t>
    </r>
    <r>
      <rPr>
        <sz val="11"/>
        <color rgb="FF000000"/>
        <rFont val="Aptos Narrow"/>
        <family val="2"/>
        <scheme val="minor"/>
      </rPr>
      <t xml:space="preserve"> - this sheet is to assist with the presentation of projected financial statements for stormwater.</t>
    </r>
  </si>
  <si>
    <t>The Department can prepare a version of this template populated with publicly available council data, upon request</t>
  </si>
  <si>
    <t>Upon request, the Department can provide councils with an updated version of this financial template which is populated with publicly available council financial information (for example, from 2024-34 Long Term Plans). To request a populated template, please email wsdp@dia.govt.nz.</t>
  </si>
  <si>
    <t>FINANCIAL SUSTAINABILITY CHARTS</t>
  </si>
  <si>
    <t>Projected council net debt to operating revenue</t>
  </si>
  <si>
    <t>Total operating revenue ($m)</t>
  </si>
  <si>
    <t>Net debt ($m)</t>
  </si>
  <si>
    <t>Debt headroom to limit ($m)</t>
  </si>
  <si>
    <t>Net debt to operating revenue (%)</t>
  </si>
  <si>
    <t>Borrowing limit (%)</t>
  </si>
  <si>
    <t>Projected water services net debt to operating revenue</t>
  </si>
  <si>
    <t>Water borrowing limit (%)</t>
  </si>
  <si>
    <t>Council borrowing limit (%)</t>
  </si>
  <si>
    <t>Projected water services investment requirements</t>
  </si>
  <si>
    <t>To replace existing assets ($m)</t>
  </si>
  <si>
    <t>To improve levels of service ($m)</t>
  </si>
  <si>
    <t>To meet additional demand ($m)</t>
  </si>
  <si>
    <t>Depreciation ($m)</t>
  </si>
  <si>
    <t>Free funds from operations (FFO) to debt ratio</t>
  </si>
  <si>
    <t>Total net debt ($m)</t>
  </si>
  <si>
    <t>Funds from operations ($m)</t>
  </si>
  <si>
    <t>FFO to debt ratio (%)</t>
  </si>
  <si>
    <t>Projected water services debt headroom (FFO)</t>
  </si>
  <si>
    <t>Water services FFO covenant (LGFA)</t>
  </si>
  <si>
    <t>Free funds from operations (LGFA) ($m)</t>
  </si>
  <si>
    <t>Debt headroom to FFO covenant ($000s)</t>
  </si>
  <si>
    <t>Projected water services revenue and expenses</t>
  </si>
  <si>
    <t>Expenses (excl. depn, interest) ($m)</t>
  </si>
  <si>
    <t>Interest costs ($m)</t>
  </si>
  <si>
    <t>Operating revenue ($m)</t>
  </si>
  <si>
    <t>Net operating surplus/(deficit) ($m)</t>
  </si>
  <si>
    <t>Sustainability measures: Revenue sufficiency</t>
  </si>
  <si>
    <t>Average charge per connection including GST</t>
  </si>
  <si>
    <t>Average drinking water bill (including GST)</t>
  </si>
  <si>
    <t>Average wastewater bill (including GST)</t>
  </si>
  <si>
    <t>Average stormwater bill (including GST)</t>
  </si>
  <si>
    <t>Projected increase</t>
  </si>
  <si>
    <t>Projected number of connections</t>
  </si>
  <si>
    <t>Projected median household income</t>
  </si>
  <si>
    <t>Water services charges as % of household income</t>
  </si>
  <si>
    <t>Rates revenue</t>
  </si>
  <si>
    <t>Total</t>
  </si>
  <si>
    <t>General and targeted rates</t>
  </si>
  <si>
    <t>Operating surplus ratio</t>
  </si>
  <si>
    <t>Operating surplus/(deficit) excluding capital revenues</t>
  </si>
  <si>
    <t>Total operating revenue</t>
  </si>
  <si>
    <t>Operating cash ratio</t>
  </si>
  <si>
    <t>Operating surplus/(deficit) + depreciation + interest  costs - capital revenue</t>
  </si>
  <si>
    <t>Sustainability measures: Investment sufficiency</t>
  </si>
  <si>
    <t>Asset sustainability ratio</t>
  </si>
  <si>
    <t>Capital expenditure on renewals</t>
  </si>
  <si>
    <t>Depreciation</t>
  </si>
  <si>
    <t>Asset investment ratio</t>
  </si>
  <si>
    <t>Capital expenditure</t>
  </si>
  <si>
    <t>Asset consumption ratio</t>
  </si>
  <si>
    <t>Book value of infrastructure assets</t>
  </si>
  <si>
    <t>Total estimated replacement value of infrastructure assets</t>
  </si>
  <si>
    <t>Sustainability measures: Financing sufficiency</t>
  </si>
  <si>
    <t>Net debt</t>
  </si>
  <si>
    <t>Total borrowings</t>
  </si>
  <si>
    <t>Less: cash and financial assets</t>
  </si>
  <si>
    <t>Net debt to operating revenue</t>
  </si>
  <si>
    <t>Total net debt (gross debt less cash)</t>
  </si>
  <si>
    <t>Operating revenue</t>
  </si>
  <si>
    <t>Borrowings headroom/(shortfall) against limit</t>
  </si>
  <si>
    <t>Debt to revenue limit</t>
  </si>
  <si>
    <t>Maximum allowable net debt</t>
  </si>
  <si>
    <t>Total net debt</t>
  </si>
  <si>
    <t>Borrowing headroom/ (shortfall) against limit</t>
  </si>
  <si>
    <t>Operating revenue (plus 50% DCs minus interest income)</t>
  </si>
  <si>
    <t>Less Expenses (minus depreciation and non-cash items)</t>
  </si>
  <si>
    <t>Free funds from operations</t>
  </si>
  <si>
    <t>Funds from operations</t>
  </si>
  <si>
    <t>FFO to debt ratio</t>
  </si>
  <si>
    <t>Interest coverage ratio</t>
  </si>
  <si>
    <t>Cash interest</t>
  </si>
  <si>
    <t>Projected investment in water services</t>
  </si>
  <si>
    <t>Capital expenditure - to meet additional demand</t>
  </si>
  <si>
    <t>Capital expenditure - to improve levels of services</t>
  </si>
  <si>
    <t>Capital expenditure - to replace existing assets</t>
  </si>
  <si>
    <t>Total projected investment for drinking water</t>
  </si>
  <si>
    <t>Total projected investment for wastewater</t>
  </si>
  <si>
    <t>Total projected investment for stormwater</t>
  </si>
  <si>
    <t>Total projected investment in water services</t>
  </si>
  <si>
    <t>Delivery against planned investment</t>
  </si>
  <si>
    <t>Renewals investment for water services</t>
  </si>
  <si>
    <t>Total Investment in water services</t>
  </si>
  <si>
    <t>FY2024/25</t>
  </si>
  <si>
    <t>FY21/22 - FY23/24</t>
  </si>
  <si>
    <t xml:space="preserve">FY18/19 - FY20/21 </t>
  </si>
  <si>
    <t xml:space="preserve">Total planned investment (set in the relevant LTP) </t>
  </si>
  <si>
    <t>Total actual investment</t>
  </si>
  <si>
    <t>Delivery against planned investment (%)</t>
  </si>
  <si>
    <t>Significant capital projects - drinking water</t>
  </si>
  <si>
    <t>Projects to meet additional demand</t>
  </si>
  <si>
    <t>Total investment to meet additional demand</t>
  </si>
  <si>
    <t>Projects to improve levels of services</t>
  </si>
  <si>
    <t>Total investment to improve levels of services</t>
  </si>
  <si>
    <t>Projects to replace existing assets</t>
  </si>
  <si>
    <t>Total investment to replace existing assets</t>
  </si>
  <si>
    <t>Total investment in drinking water assets</t>
  </si>
  <si>
    <t>Significant capital projects - wastewater</t>
  </si>
  <si>
    <t>Total investment in wastewater assets</t>
  </si>
  <si>
    <t>Significant capital projects - stormwater</t>
  </si>
  <si>
    <t>Total investment in stormwater assets</t>
  </si>
  <si>
    <t>Funding impact statement ($000)</t>
  </si>
  <si>
    <t>Sources of operating funding</t>
  </si>
  <si>
    <t>General rates</t>
  </si>
  <si>
    <t>Targeted rates</t>
  </si>
  <si>
    <t>Subsidies and grants for operating purposes</t>
  </si>
  <si>
    <t>Local authorities fuel tax, fines, infringement fees and other receipts</t>
  </si>
  <si>
    <t>Fees and charges</t>
  </si>
  <si>
    <t>Total operating funding</t>
  </si>
  <si>
    <t>Applications of operating funding</t>
  </si>
  <si>
    <t>Payments to staff and suppliers</t>
  </si>
  <si>
    <t>Finance costs</t>
  </si>
  <si>
    <t>Internal charges and overheads applied</t>
  </si>
  <si>
    <t>Other operating funding applications</t>
  </si>
  <si>
    <t>Total applications of operating funding</t>
  </si>
  <si>
    <t>Surplus/(deficit) of operating funding</t>
  </si>
  <si>
    <t>Sources of capital funding</t>
  </si>
  <si>
    <t>Subsidies and grants for capital expenditure</t>
  </si>
  <si>
    <t>Development and financial contributions</t>
  </si>
  <si>
    <t>Increase/(decrease) in debt</t>
  </si>
  <si>
    <t>Gross proceeds from sales of assets</t>
  </si>
  <si>
    <t>Other dedicated capital funding</t>
  </si>
  <si>
    <t>Total sources of capital funding</t>
  </si>
  <si>
    <t>Applications of capital funding</t>
  </si>
  <si>
    <t>Increase/(decrease) in reserves</t>
  </si>
  <si>
    <t>Increase/(decrease) in investments</t>
  </si>
  <si>
    <t>Total applications of capital funding</t>
  </si>
  <si>
    <t>Surplus/(deficit) of capital funding</t>
  </si>
  <si>
    <t>Funding balance</t>
  </si>
  <si>
    <t>Statement of comprehensive revenue and expense ($000)</t>
  </si>
  <si>
    <t>Other revenue</t>
  </si>
  <si>
    <t>Total revenue</t>
  </si>
  <si>
    <t>Operating expenses</t>
  </si>
  <si>
    <t>Overheads and support costs</t>
  </si>
  <si>
    <t>Depreciation &amp; amortisation</t>
  </si>
  <si>
    <t>Total expenses</t>
  </si>
  <si>
    <t>Net surplus / (deficit)</t>
  </si>
  <si>
    <t>Revaluation of infrastructure assets</t>
  </si>
  <si>
    <t>Total comprehensive income</t>
  </si>
  <si>
    <t>Cash surplus / (deficit) from operations (excl depreciation)</t>
  </si>
  <si>
    <t>Statement of cashflows ($000)</t>
  </si>
  <si>
    <t>Cashflows from operating activities</t>
  </si>
  <si>
    <t>Cash surplus / (deficit) from operations</t>
  </si>
  <si>
    <t>[other items]</t>
  </si>
  <si>
    <t>Net cashflows from operating activities</t>
  </si>
  <si>
    <t>Cashflows from investment activities</t>
  </si>
  <si>
    <t>Net cashflows from investment activities</t>
  </si>
  <si>
    <t>Cashflows from financing activities</t>
  </si>
  <si>
    <t>New borrowings</t>
  </si>
  <si>
    <t>Repayment of borrowings</t>
  </si>
  <si>
    <t>Net cashflows from financing activities</t>
  </si>
  <si>
    <t>Net increase/(decrease) in cash and cash equivalents</t>
  </si>
  <si>
    <t>Cash and cash equivalents at beginning of year</t>
  </si>
  <si>
    <t>Cash and cash equivalents at end of year</t>
  </si>
  <si>
    <t>Statement of financial position ($000)</t>
  </si>
  <si>
    <t>Assets</t>
  </si>
  <si>
    <t>Cash and cash equivalents</t>
  </si>
  <si>
    <t>Other current assets</t>
  </si>
  <si>
    <t>Infrastructure assets</t>
  </si>
  <si>
    <t>Other non-current assets</t>
  </si>
  <si>
    <t>Total assets</t>
  </si>
  <si>
    <t>Liabilities</t>
  </si>
  <si>
    <t>Borrowings - current portion</t>
  </si>
  <si>
    <t>Other current liabilities</t>
  </si>
  <si>
    <t>Borrowings - non-current portion</t>
  </si>
  <si>
    <t>Other non-current liabilities</t>
  </si>
  <si>
    <t>Total liabilities</t>
  </si>
  <si>
    <t>Net assets</t>
  </si>
  <si>
    <t>Equity</t>
  </si>
  <si>
    <t>Revaluation reserve</t>
  </si>
  <si>
    <t>Other reserves</t>
  </si>
  <si>
    <t>Total equity</t>
  </si>
  <si>
    <t>Greytown WTP upgrades stage 3</t>
  </si>
  <si>
    <t>Greytown WTP upgrades stage 2</t>
  </si>
  <si>
    <t>PW Tanker fill points</t>
  </si>
  <si>
    <t>Waiohine WTP stage 3 upgrade</t>
  </si>
  <si>
    <t>Fire fighting upgrades</t>
  </si>
  <si>
    <t>WTP wellfeild security</t>
  </si>
  <si>
    <t>Resource consent for Pirinoa water take - reconsenting</t>
  </si>
  <si>
    <t>FSTN water main renewals</t>
  </si>
  <si>
    <t>Tauwhareniikau pipeline crossing</t>
  </si>
  <si>
    <t>SWDC drinking water pipe renewals</t>
  </si>
  <si>
    <t>Boar Bush PW trun main and resrvoir outlet</t>
  </si>
  <si>
    <t>Annual recurring projects</t>
  </si>
  <si>
    <t>consenting of water races (Moroa)</t>
  </si>
  <si>
    <t>SWDC VHCA reservoir water quality renewals</t>
  </si>
  <si>
    <t>Waiohine WTP filtration</t>
  </si>
  <si>
    <t>MTB WWTP growth capacity upgrade</t>
  </si>
  <si>
    <t>GTN WWTP growth capaicty upgrade</t>
  </si>
  <si>
    <t>GTN Papawai road wastewater upgrade stage 2</t>
  </si>
  <si>
    <t>MTB WWTP compliance upgrades - stage 2b winter storage</t>
  </si>
  <si>
    <t>FSTN WWTP long-term consent stage 2 and major plant upgrade 2</t>
  </si>
  <si>
    <t>FSTN WWTP consent renewal</t>
  </si>
  <si>
    <t xml:space="preserve">GTN WWTP compliance upgrades - stage 2a land irrigaiton </t>
  </si>
  <si>
    <t>Construction works from consent - lake ferry</t>
  </si>
  <si>
    <t>FSTN pressure wastewater system - stage 1</t>
  </si>
  <si>
    <t xml:space="preserve">MTB WWTP compliance upgrades - stage 2a land irrigiation </t>
  </si>
  <si>
    <t>FSTN WWTP consent renewal and upgrades</t>
  </si>
  <si>
    <t>Annually recurring projects</t>
  </si>
  <si>
    <t>Waterwater pipe renewals</t>
  </si>
  <si>
    <t>Reconsenting lake ferry treatment plant</t>
  </si>
  <si>
    <t>Flooding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</si>
</sst>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_ ;[Red]\(#,##0\)"/>
    <numFmt numFmtId="165" formatCode="0.0%"/>
    <numFmt numFmtId="166" formatCode="#,##0%\ ;\(#,##0%\)"/>
    <numFmt numFmtId="167" formatCode="#,##0.0_ ;[Red]\(#,##0.0\)"/>
    <numFmt numFmtId="168" formatCode="#,##0.0%\ ;\(#,##0.0%\)"/>
    <numFmt numFmtId="169" formatCode="#,##0.00\ ;\(#,##0.00\)"/>
    <numFmt numFmtId="170" formatCode="#,##0.0\ ;\(#,##0.0\)"/>
    <numFmt numFmtId="171" formatCode="0.0%;[Red]\(0.0%\)"/>
    <numFmt numFmtId="172" formatCode="0%;[Red]\(0%\)"/>
  </numFmts>
  <fonts count="30">
    <font>
      <sz val="11"/>
      <color theme="1"/>
      <name val="Aptos Narrow"/>
      <family val="2"/>
      <scheme val="minor"/>
    </font>
    <font>
      <sz val="11"/>
      <color theme="1"/>
      <name val="Aptos Narrow"/>
      <family val="2"/>
      <scheme val="minor"/>
    </font>
    <font>
      <b/>
      <sz val="11"/>
      <color theme="1"/>
      <name val="Aptos Narrow"/>
      <family val="2"/>
      <scheme val="minor"/>
    </font>
    <font>
      <b/>
      <sz val="8"/>
      <color rgb="FFFFFFFF"/>
      <name val="Calibri"/>
      <family val="2"/>
    </font>
    <font>
      <sz val="8"/>
      <color theme="1"/>
      <name val="Aptos Narrow"/>
      <family val="2"/>
      <scheme val="minor"/>
    </font>
    <font>
      <sz val="8"/>
      <color rgb="FF000000"/>
      <name val="Calibri"/>
      <family val="2"/>
    </font>
    <font>
      <sz val="8"/>
      <name val="Calibri"/>
      <family val="2"/>
    </font>
    <font>
      <sz val="10"/>
      <color theme="1"/>
      <name val="Aptos Narrow"/>
      <family val="2"/>
      <scheme val="minor"/>
    </font>
    <font>
      <b/>
      <sz val="20"/>
      <color rgb="FFFFFFFF"/>
      <name val="Aptos Narrow"/>
      <family val="2"/>
      <scheme val="minor"/>
    </font>
    <font>
      <sz val="14"/>
      <color theme="1"/>
      <name val="Aptos Narrow"/>
      <family val="2"/>
      <scheme val="minor"/>
    </font>
    <font>
      <b/>
      <sz val="11"/>
      <color rgb="FFFFFFFF"/>
      <name val="Aptos Narrow"/>
      <family val="2"/>
      <scheme val="minor"/>
    </font>
    <font>
      <b/>
      <i/>
      <sz val="11"/>
      <color rgb="FF00ABC5"/>
      <name val="Aptos Narrow"/>
      <family val="2"/>
      <scheme val="minor"/>
    </font>
    <font>
      <b/>
      <sz val="11"/>
      <color rgb="FF0070C0"/>
      <name val="Aptos Narrow"/>
      <family val="2"/>
      <scheme val="minor"/>
    </font>
    <font>
      <b/>
      <sz val="11"/>
      <color rgb="FF00ABC5"/>
      <name val="Aptos Narrow"/>
      <family val="2"/>
      <scheme val="minor"/>
    </font>
    <font>
      <sz val="11"/>
      <color rgb="FF000000"/>
      <name val="Aptos Narrow"/>
      <family val="2"/>
      <scheme val="minor"/>
    </font>
    <font>
      <i/>
      <sz val="11"/>
      <color rgb="FF000000"/>
      <name val="Aptos Narrow"/>
      <family val="2"/>
      <scheme val="minor"/>
    </font>
    <font>
      <sz val="11"/>
      <color rgb="FF0070C0"/>
      <name val="Aptos Narrow"/>
      <family val="2"/>
      <scheme val="minor"/>
    </font>
    <font>
      <sz val="11"/>
      <name val="Aptos Narrow"/>
      <family val="2"/>
      <scheme val="minor"/>
    </font>
    <font>
      <b/>
      <sz val="8"/>
      <color rgb="FFFFFFFF"/>
      <name val="Aptos "/>
    </font>
    <font>
      <sz val="8"/>
      <color theme="1"/>
      <name val="Aptos "/>
    </font>
    <font>
      <b/>
      <sz val="8"/>
      <color rgb="FF000000"/>
      <name val="Aptos "/>
    </font>
    <font>
      <sz val="8"/>
      <color rgb="FF000000"/>
      <name val="Aptos "/>
    </font>
    <font>
      <sz val="8"/>
      <name val="Aptos "/>
    </font>
    <font>
      <b/>
      <sz val="8"/>
      <color rgb="FF000000"/>
      <name val="Calibri"/>
      <family val="2"/>
    </font>
    <font>
      <sz val="8"/>
      <name val="Aptos Narrow"/>
      <family val="2"/>
      <scheme val="minor"/>
    </font>
    <font>
      <b/>
      <sz val="8"/>
      <color rgb="FF000000"/>
      <name val="Aptos Narrow"/>
      <family val="2"/>
      <scheme val="minor"/>
    </font>
    <font>
      <b/>
      <sz val="8"/>
      <color theme="0"/>
      <name val="Aptos Narrow"/>
      <family val="2"/>
      <scheme val="minor"/>
    </font>
    <font>
      <b/>
      <sz val="8"/>
      <color theme="0"/>
      <name val="Calibri"/>
      <family val="2"/>
    </font>
    <font>
      <sz val="8"/>
      <color rgb="FF000000"/>
      <name val="Aptos Narrow"/>
      <family val="2"/>
      <scheme val="minor"/>
    </font>
    <font>
      <sz val="8"/>
      <color theme="1"/>
      <name val="Calibri"/>
      <family val="2"/>
    </font>
  </fonts>
  <fills count="11">
    <fill>
      <patternFill patternType="none"/>
    </fill>
    <fill>
      <patternFill patternType="gray125"/>
    </fill>
    <fill>
      <patternFill patternType="solid">
        <fgColor rgb="FF7030A0"/>
        <bgColor indexed="64"/>
      </patternFill>
    </fill>
    <fill>
      <patternFill patternType="solid">
        <fgColor rgb="FFF1E8F8"/>
        <bgColor indexed="64"/>
      </patternFill>
    </fill>
    <fill>
      <patternFill patternType="solid">
        <fgColor rgb="FFDBECEC"/>
        <bgColor indexed="64"/>
      </patternFill>
    </fill>
    <fill>
      <patternFill patternType="solid">
        <fgColor theme="5" tint="0.79998168889431442"/>
        <bgColor indexed="64"/>
      </patternFill>
    </fill>
    <fill>
      <patternFill patternType="solid">
        <fgColor rgb="FFFBE2D5"/>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F2F2F2"/>
        <bgColor indexed="64"/>
      </patternFill>
    </fill>
  </fills>
  <borders count="19">
    <border>
      <left/>
      <right/>
      <top/>
      <bottom/>
      <diagonal/>
    </border>
    <border>
      <left style="medium">
        <color rgb="FF7030A0"/>
      </left>
      <right/>
      <top/>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diagonal/>
    </border>
    <border>
      <left style="thick">
        <color rgb="FF7030A0"/>
      </left>
      <right/>
      <top style="medium">
        <color rgb="FF7030A0"/>
      </top>
      <bottom/>
      <diagonal/>
    </border>
    <border>
      <left/>
      <right style="thick">
        <color rgb="FF7030A0"/>
      </right>
      <top style="medium">
        <color rgb="FF7030A0"/>
      </top>
      <bottom/>
      <diagonal/>
    </border>
    <border>
      <left/>
      <right style="medium">
        <color rgb="FF7030A0"/>
      </right>
      <top style="medium">
        <color rgb="FF7030A0"/>
      </top>
      <bottom/>
      <diagonal/>
    </border>
    <border>
      <left style="thick">
        <color rgb="FF7030A0"/>
      </left>
      <right/>
      <top style="thick">
        <color rgb="FF7030A0"/>
      </top>
      <bottom/>
      <diagonal/>
    </border>
    <border>
      <left/>
      <right style="thick">
        <color rgb="FF7030A0"/>
      </right>
      <top style="thick">
        <color rgb="FF7030A0"/>
      </top>
      <bottom/>
      <diagonal/>
    </border>
    <border>
      <left/>
      <right style="medium">
        <color rgb="FF7030A0"/>
      </right>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diagonal/>
    </border>
    <border>
      <left/>
      <right/>
      <top style="medium">
        <color rgb="FF7030A0"/>
      </top>
      <bottom style="medium">
        <color rgb="FF7030A0"/>
      </bottom>
      <diagonal/>
    </border>
  </borders>
  <cellStyleXfs count="5">
    <xf numFmtId="0" fontId="0" fillId="0" borderId="0"/>
    <xf numFmtId="169" fontId="7" fillId="0" borderId="0" applyFont="0" applyFill="0" applyBorder="0" applyProtection="0"/>
    <xf numFmtId="166" fontId="7" fillId="0" borderId="0" applyFont="0" applyFill="0" applyBorder="0" applyProtection="0"/>
    <xf numFmtId="0" fontId="1" fillId="0" borderId="0"/>
    <xf numFmtId="9" fontId="1" fillId="0" borderId="0" applyFont="0" applyFill="0" applyBorder="0" applyAlignment="0" applyProtection="0"/>
  </cellStyleXfs>
  <cellXfs count="121">
    <xf numFmtId="0" fontId="0" fillId="0" borderId="0" xfId="0"/>
    <xf numFmtId="0" fontId="4" fillId="0" borderId="0" xfId="3" applyFont="1"/>
    <xf numFmtId="0" fontId="4" fillId="0" borderId="0" xfId="3" quotePrefix="1" applyFont="1"/>
    <xf numFmtId="0" fontId="5" fillId="3" borderId="2" xfId="3" applyFont="1" applyFill="1" applyBorder="1" applyAlignment="1">
      <alignment horizontal="left" vertical="center" wrapText="1" readingOrder="1"/>
    </xf>
    <xf numFmtId="0" fontId="5" fillId="3" borderId="2" xfId="3" applyFont="1" applyFill="1" applyBorder="1" applyAlignment="1">
      <alignment horizontal="center" vertical="center" wrapText="1" readingOrder="1"/>
    </xf>
    <xf numFmtId="0" fontId="5" fillId="0" borderId="2" xfId="3" applyFont="1" applyBorder="1" applyAlignment="1">
      <alignment horizontal="left" vertical="center" wrapText="1" readingOrder="1"/>
    </xf>
    <xf numFmtId="164" fontId="6" fillId="4" borderId="2" xfId="3" applyNumberFormat="1" applyFont="1" applyFill="1" applyBorder="1" applyAlignment="1">
      <alignment vertical="center" wrapText="1"/>
    </xf>
    <xf numFmtId="165" fontId="6" fillId="4" borderId="2" xfId="4" applyNumberFormat="1" applyFont="1" applyFill="1" applyBorder="1" applyAlignment="1">
      <alignment vertical="center" wrapText="1"/>
    </xf>
    <xf numFmtId="9" fontId="6" fillId="4" borderId="2" xfId="4" applyFont="1" applyFill="1" applyBorder="1" applyAlignment="1">
      <alignment vertical="center" wrapText="1"/>
    </xf>
    <xf numFmtId="166" fontId="6" fillId="4" borderId="2" xfId="2" applyFont="1" applyFill="1" applyBorder="1"/>
    <xf numFmtId="164" fontId="6" fillId="5" borderId="2" xfId="3" applyNumberFormat="1" applyFont="1" applyFill="1" applyBorder="1" applyAlignment="1">
      <alignment vertical="center" wrapText="1"/>
    </xf>
    <xf numFmtId="164" fontId="6" fillId="6" borderId="2" xfId="3" applyNumberFormat="1" applyFont="1" applyFill="1" applyBorder="1" applyAlignment="1">
      <alignment vertical="center" wrapText="1"/>
    </xf>
    <xf numFmtId="0" fontId="5" fillId="7" borderId="2" xfId="3" applyFont="1" applyFill="1" applyBorder="1" applyAlignment="1">
      <alignment horizontal="left" vertical="center" wrapText="1" readingOrder="1"/>
    </xf>
    <xf numFmtId="164" fontId="6" fillId="8" borderId="2" xfId="3" applyNumberFormat="1" applyFont="1" applyFill="1" applyBorder="1" applyAlignment="1">
      <alignment vertical="center" wrapText="1"/>
    </xf>
    <xf numFmtId="0" fontId="1" fillId="2" borderId="3" xfId="3" applyFill="1" applyBorder="1" applyAlignment="1">
      <alignment vertical="top"/>
    </xf>
    <xf numFmtId="0" fontId="8" fillId="2" borderId="4" xfId="3" applyFont="1" applyFill="1" applyBorder="1" applyAlignment="1">
      <alignment vertical="top" readingOrder="1"/>
    </xf>
    <xf numFmtId="0" fontId="8" fillId="2" borderId="5" xfId="3" applyFont="1" applyFill="1" applyBorder="1" applyAlignment="1">
      <alignment vertical="top" readingOrder="1"/>
    </xf>
    <xf numFmtId="0" fontId="9" fillId="2" borderId="6" xfId="3" applyFont="1" applyFill="1" applyBorder="1" applyAlignment="1">
      <alignment vertical="top"/>
    </xf>
    <xf numFmtId="0" fontId="1" fillId="0" borderId="0" xfId="3" applyAlignment="1">
      <alignment vertical="top"/>
    </xf>
    <xf numFmtId="0" fontId="1" fillId="2" borderId="1" xfId="3" applyFill="1" applyBorder="1" applyAlignment="1">
      <alignment vertical="top"/>
    </xf>
    <xf numFmtId="0" fontId="1" fillId="9" borderId="7" xfId="3" applyFill="1" applyBorder="1" applyAlignment="1">
      <alignment vertical="top" wrapText="1"/>
    </xf>
    <xf numFmtId="0" fontId="1" fillId="9" borderId="8" xfId="3" applyFill="1" applyBorder="1" applyAlignment="1">
      <alignment vertical="top" wrapText="1"/>
    </xf>
    <xf numFmtId="0" fontId="1" fillId="2" borderId="9" xfId="3" applyFill="1" applyBorder="1" applyAlignment="1">
      <alignment vertical="top"/>
    </xf>
    <xf numFmtId="0" fontId="10" fillId="2" borderId="7" xfId="3" applyFont="1" applyFill="1" applyBorder="1" applyAlignment="1">
      <alignment vertical="top" readingOrder="1"/>
    </xf>
    <xf numFmtId="0" fontId="10" fillId="2" borderId="8" xfId="3" applyFont="1" applyFill="1" applyBorder="1" applyAlignment="1">
      <alignment vertical="top" readingOrder="1"/>
    </xf>
    <xf numFmtId="0" fontId="1" fillId="9" borderId="10" xfId="3" applyFill="1" applyBorder="1" applyAlignment="1">
      <alignment horizontal="left" vertical="top" wrapText="1"/>
    </xf>
    <xf numFmtId="0" fontId="1" fillId="9" borderId="11" xfId="3" applyFill="1" applyBorder="1" applyAlignment="1">
      <alignment horizontal="left" vertical="top" wrapText="1"/>
    </xf>
    <xf numFmtId="0" fontId="1" fillId="9" borderId="10" xfId="3" applyFill="1" applyBorder="1" applyAlignment="1">
      <alignment horizontal="left" vertical="top"/>
    </xf>
    <xf numFmtId="0" fontId="1" fillId="9" borderId="11" xfId="3" applyFill="1" applyBorder="1" applyAlignment="1">
      <alignment horizontal="left" vertical="top"/>
    </xf>
    <xf numFmtId="0" fontId="1" fillId="9" borderId="10" xfId="3" applyFill="1" applyBorder="1" applyAlignment="1">
      <alignment vertical="top" wrapText="1"/>
    </xf>
    <xf numFmtId="0" fontId="1" fillId="9" borderId="11" xfId="3" applyFill="1" applyBorder="1" applyAlignment="1">
      <alignment vertical="top" wrapText="1"/>
    </xf>
    <xf numFmtId="0" fontId="10" fillId="2" borderId="10" xfId="3" applyFont="1" applyFill="1" applyBorder="1" applyAlignment="1">
      <alignment vertical="top" readingOrder="1"/>
    </xf>
    <xf numFmtId="0" fontId="10" fillId="2" borderId="11" xfId="3" applyFont="1" applyFill="1" applyBorder="1" applyAlignment="1">
      <alignment vertical="top" readingOrder="1"/>
    </xf>
    <xf numFmtId="0" fontId="14" fillId="3" borderId="10" xfId="3" applyFont="1" applyFill="1" applyBorder="1" applyAlignment="1">
      <alignment horizontal="left" vertical="top" wrapText="1" readingOrder="1"/>
    </xf>
    <xf numFmtId="0" fontId="14" fillId="3" borderId="11" xfId="3" applyFont="1" applyFill="1" applyBorder="1" applyAlignment="1">
      <alignment horizontal="left" vertical="top" wrapText="1" readingOrder="1"/>
    </xf>
    <xf numFmtId="0" fontId="13" fillId="9" borderId="10" xfId="3" applyFont="1" applyFill="1" applyBorder="1" applyAlignment="1">
      <alignment vertical="top"/>
    </xf>
    <xf numFmtId="0" fontId="14" fillId="3" borderId="10" xfId="3" applyFont="1" applyFill="1" applyBorder="1" applyAlignment="1">
      <alignment horizontal="left" vertical="top" readingOrder="1"/>
    </xf>
    <xf numFmtId="0" fontId="14" fillId="3" borderId="11" xfId="3" applyFont="1" applyFill="1" applyBorder="1" applyAlignment="1">
      <alignment horizontal="left" vertical="top" readingOrder="1"/>
    </xf>
    <xf numFmtId="0" fontId="1" fillId="9" borderId="12" xfId="3" applyFill="1" applyBorder="1" applyAlignment="1">
      <alignment vertical="top" wrapText="1"/>
    </xf>
    <xf numFmtId="0" fontId="1" fillId="9" borderId="13" xfId="3" applyFill="1" applyBorder="1" applyAlignment="1">
      <alignment vertical="top" wrapText="1"/>
    </xf>
    <xf numFmtId="0" fontId="1" fillId="2" borderId="14" xfId="3" applyFill="1" applyBorder="1" applyAlignment="1">
      <alignment vertical="top"/>
    </xf>
    <xf numFmtId="0" fontId="1" fillId="2" borderId="15" xfId="3" applyFill="1" applyBorder="1" applyAlignment="1">
      <alignment vertical="top"/>
    </xf>
    <xf numFmtId="0" fontId="1" fillId="2" borderId="16" xfId="3" applyFill="1" applyBorder="1" applyAlignment="1">
      <alignment vertical="top"/>
    </xf>
    <xf numFmtId="0" fontId="18" fillId="2" borderId="0" xfId="3" applyFont="1" applyFill="1" applyAlignment="1">
      <alignment vertical="center" readingOrder="1"/>
    </xf>
    <xf numFmtId="0" fontId="18" fillId="2" borderId="0" xfId="3" applyFont="1" applyFill="1" applyAlignment="1">
      <alignment vertical="center" wrapText="1" readingOrder="1"/>
    </xf>
    <xf numFmtId="0" fontId="19" fillId="0" borderId="0" xfId="3" applyFont="1"/>
    <xf numFmtId="0" fontId="20" fillId="3" borderId="2" xfId="3" applyFont="1" applyFill="1" applyBorder="1" applyAlignment="1">
      <alignment horizontal="left" vertical="center" wrapText="1" readingOrder="1"/>
    </xf>
    <xf numFmtId="0" fontId="21" fillId="0" borderId="2" xfId="3" applyFont="1" applyBorder="1" applyAlignment="1">
      <alignment horizontal="left" vertical="center" wrapText="1" readingOrder="1"/>
    </xf>
    <xf numFmtId="167" fontId="6" fillId="0" borderId="2" xfId="4" applyNumberFormat="1" applyFont="1" applyBorder="1" applyAlignment="1">
      <alignment vertical="center" wrapText="1"/>
    </xf>
    <xf numFmtId="166" fontId="19" fillId="0" borderId="0" xfId="2" applyFont="1"/>
    <xf numFmtId="0" fontId="21" fillId="7" borderId="2" xfId="3" applyFont="1" applyFill="1" applyBorder="1" applyAlignment="1">
      <alignment horizontal="left" vertical="center" wrapText="1" readingOrder="1"/>
    </xf>
    <xf numFmtId="167" fontId="6" fillId="7" borderId="2" xfId="4" applyNumberFormat="1" applyFont="1" applyFill="1" applyBorder="1" applyAlignment="1">
      <alignment vertical="center" wrapText="1"/>
    </xf>
    <xf numFmtId="9" fontId="22" fillId="7" borderId="2" xfId="4" applyFont="1" applyFill="1" applyBorder="1" applyAlignment="1">
      <alignment vertical="center" wrapText="1"/>
    </xf>
    <xf numFmtId="166" fontId="22" fillId="0" borderId="2" xfId="2" applyFont="1" applyFill="1" applyBorder="1"/>
    <xf numFmtId="0" fontId="21" fillId="0" borderId="2" xfId="3" applyFont="1" applyBorder="1" applyAlignment="1">
      <alignment horizontal="left" vertical="center" readingOrder="1"/>
    </xf>
    <xf numFmtId="9" fontId="22" fillId="0" borderId="2" xfId="4" applyFont="1" applyFill="1" applyBorder="1" applyAlignment="1">
      <alignment vertical="center" wrapText="1"/>
    </xf>
    <xf numFmtId="0" fontId="21" fillId="0" borderId="0" xfId="3" applyFont="1" applyAlignment="1">
      <alignment horizontal="left" vertical="center" wrapText="1" readingOrder="1"/>
    </xf>
    <xf numFmtId="9" fontId="22" fillId="0" borderId="0" xfId="4" applyFont="1" applyFill="1" applyBorder="1" applyAlignment="1">
      <alignment vertical="center" wrapText="1"/>
    </xf>
    <xf numFmtId="168" fontId="6" fillId="7" borderId="2" xfId="2" applyNumberFormat="1" applyFont="1" applyFill="1" applyBorder="1"/>
    <xf numFmtId="168" fontId="6" fillId="0" borderId="2" xfId="2" applyNumberFormat="1" applyFont="1" applyBorder="1"/>
    <xf numFmtId="167" fontId="6" fillId="0" borderId="2" xfId="4" applyNumberFormat="1" applyFont="1" applyFill="1" applyBorder="1" applyAlignment="1">
      <alignment vertical="center" wrapText="1"/>
    </xf>
    <xf numFmtId="167" fontId="6" fillId="0" borderId="2" xfId="1" applyNumberFormat="1" applyFont="1" applyFill="1" applyBorder="1"/>
    <xf numFmtId="0" fontId="20" fillId="7" borderId="2" xfId="3" applyFont="1" applyFill="1" applyBorder="1" applyAlignment="1">
      <alignment horizontal="left" vertical="center" wrapText="1" readingOrder="1"/>
    </xf>
    <xf numFmtId="170" fontId="6" fillId="7" borderId="2" xfId="1" applyNumberFormat="1" applyFont="1" applyFill="1" applyBorder="1"/>
    <xf numFmtId="167" fontId="22" fillId="0" borderId="2" xfId="3" applyNumberFormat="1" applyFont="1" applyBorder="1" applyAlignment="1">
      <alignment vertical="center" wrapText="1"/>
    </xf>
    <xf numFmtId="167" fontId="22" fillId="7" borderId="2" xfId="3" applyNumberFormat="1" applyFont="1" applyFill="1" applyBorder="1" applyAlignment="1">
      <alignment vertical="center" wrapText="1"/>
    </xf>
    <xf numFmtId="0" fontId="3" fillId="2" borderId="0" xfId="3" applyFont="1" applyFill="1" applyAlignment="1">
      <alignment vertical="center" wrapText="1" readingOrder="1"/>
    </xf>
    <xf numFmtId="0" fontId="23" fillId="0" borderId="0" xfId="3" applyFont="1" applyAlignment="1">
      <alignment horizontal="left" vertical="center" wrapText="1" readingOrder="1"/>
    </xf>
    <xf numFmtId="164" fontId="6" fillId="0" borderId="2" xfId="4" applyNumberFormat="1" applyFont="1" applyFill="1" applyBorder="1" applyAlignment="1">
      <alignment vertical="center" wrapText="1"/>
    </xf>
    <xf numFmtId="166" fontId="4" fillId="0" borderId="0" xfId="2" applyFont="1" applyFill="1"/>
    <xf numFmtId="164" fontId="6" fillId="8" borderId="2" xfId="4" applyNumberFormat="1" applyFont="1" applyFill="1" applyBorder="1" applyAlignment="1">
      <alignment vertical="center" wrapText="1"/>
    </xf>
    <xf numFmtId="165" fontId="6" fillId="0" borderId="2" xfId="4" applyNumberFormat="1" applyFont="1" applyFill="1" applyBorder="1" applyAlignment="1">
      <alignment vertical="center" wrapText="1"/>
    </xf>
    <xf numFmtId="0" fontId="5" fillId="0" borderId="0" xfId="3" applyFont="1" applyAlignment="1">
      <alignment horizontal="left" vertical="center" wrapText="1" readingOrder="1"/>
    </xf>
    <xf numFmtId="171" fontId="6" fillId="8" borderId="2" xfId="4" applyNumberFormat="1" applyFont="1" applyFill="1" applyBorder="1" applyAlignment="1">
      <alignment vertical="center" wrapText="1"/>
    </xf>
    <xf numFmtId="164" fontId="6" fillId="10" borderId="2" xfId="4" applyNumberFormat="1" applyFont="1" applyFill="1" applyBorder="1" applyAlignment="1">
      <alignment vertical="center" wrapText="1"/>
    </xf>
    <xf numFmtId="171" fontId="6" fillId="7" borderId="2" xfId="4" applyNumberFormat="1" applyFont="1" applyFill="1" applyBorder="1" applyAlignment="1">
      <alignment vertical="center" wrapText="1"/>
    </xf>
    <xf numFmtId="0" fontId="5" fillId="0" borderId="17" xfId="3" applyFont="1" applyBorder="1" applyAlignment="1">
      <alignment horizontal="left" vertical="center" wrapText="1" readingOrder="1"/>
    </xf>
    <xf numFmtId="164" fontId="4" fillId="0" borderId="0" xfId="3" applyNumberFormat="1" applyFont="1"/>
    <xf numFmtId="171" fontId="4" fillId="0" borderId="0" xfId="3" applyNumberFormat="1" applyFont="1"/>
    <xf numFmtId="164" fontId="6" fillId="0" borderId="0" xfId="4" applyNumberFormat="1" applyFont="1" applyFill="1" applyBorder="1" applyAlignment="1">
      <alignment vertical="center" wrapText="1"/>
    </xf>
    <xf numFmtId="172" fontId="6" fillId="8" borderId="2" xfId="4" applyNumberFormat="1" applyFont="1" applyFill="1" applyBorder="1" applyAlignment="1">
      <alignment vertical="center" wrapText="1"/>
    </xf>
    <xf numFmtId="172" fontId="4" fillId="0" borderId="0" xfId="3" applyNumberFormat="1" applyFont="1"/>
    <xf numFmtId="172" fontId="6" fillId="0" borderId="2" xfId="4" applyNumberFormat="1" applyFont="1" applyFill="1" applyBorder="1" applyAlignment="1">
      <alignment vertical="center" wrapText="1"/>
    </xf>
    <xf numFmtId="0" fontId="24" fillId="0" borderId="0" xfId="3" applyFont="1"/>
    <xf numFmtId="0" fontId="23" fillId="0" borderId="15" xfId="3" applyFont="1" applyBorder="1" applyAlignment="1">
      <alignment horizontal="left" vertical="center" wrapText="1" readingOrder="1"/>
    </xf>
    <xf numFmtId="0" fontId="6" fillId="3" borderId="2" xfId="3" applyFont="1" applyFill="1" applyBorder="1" applyAlignment="1">
      <alignment horizontal="center" vertical="center" wrapText="1" readingOrder="1"/>
    </xf>
    <xf numFmtId="169" fontId="6" fillId="8" borderId="2" xfId="1" applyFont="1" applyFill="1" applyBorder="1"/>
    <xf numFmtId="169" fontId="4" fillId="0" borderId="0" xfId="1" applyFont="1"/>
    <xf numFmtId="0" fontId="25" fillId="0" borderId="0" xfId="3" applyFont="1" applyAlignment="1">
      <alignment horizontal="left" vertical="center" wrapText="1" readingOrder="1"/>
    </xf>
    <xf numFmtId="0" fontId="26" fillId="2" borderId="2" xfId="3" applyFont="1" applyFill="1" applyBorder="1" applyAlignment="1">
      <alignment horizontal="left" vertical="center" wrapText="1" readingOrder="1"/>
    </xf>
    <xf numFmtId="0" fontId="26" fillId="2" borderId="2" xfId="3" applyFont="1" applyFill="1" applyBorder="1" applyAlignment="1">
      <alignment horizontal="center" vertical="center" wrapText="1" readingOrder="1"/>
    </xf>
    <xf numFmtId="0" fontId="27" fillId="2" borderId="2" xfId="3" applyFont="1" applyFill="1" applyBorder="1" applyAlignment="1">
      <alignment horizontal="center" vertical="center" wrapText="1" readingOrder="1"/>
    </xf>
    <xf numFmtId="0" fontId="28" fillId="3" borderId="2" xfId="3" applyFont="1" applyFill="1" applyBorder="1" applyAlignment="1">
      <alignment horizontal="left" vertical="center" wrapText="1" readingOrder="1"/>
    </xf>
    <xf numFmtId="0" fontId="28" fillId="3" borderId="2" xfId="3" applyFont="1" applyFill="1" applyBorder="1" applyAlignment="1">
      <alignment horizontal="center" vertical="center" wrapText="1" readingOrder="1"/>
    </xf>
    <xf numFmtId="0" fontId="28" fillId="0" borderId="2" xfId="3" applyFont="1" applyBorder="1" applyAlignment="1">
      <alignment horizontal="left" vertical="center" wrapText="1" readingOrder="1"/>
    </xf>
    <xf numFmtId="164" fontId="24" fillId="0" borderId="2" xfId="4" applyNumberFormat="1" applyFont="1" applyFill="1" applyBorder="1" applyAlignment="1">
      <alignment vertical="center" wrapText="1"/>
    </xf>
    <xf numFmtId="0" fontId="28" fillId="7" borderId="2" xfId="3" applyFont="1" applyFill="1" applyBorder="1" applyAlignment="1">
      <alignment horizontal="left" vertical="center" wrapText="1" readingOrder="1"/>
    </xf>
    <xf numFmtId="164" fontId="24" fillId="8" borderId="2" xfId="4" applyNumberFormat="1" applyFont="1" applyFill="1" applyBorder="1" applyAlignment="1">
      <alignment vertical="center" wrapText="1"/>
    </xf>
    <xf numFmtId="0" fontId="26" fillId="2" borderId="0" xfId="3" applyFont="1" applyFill="1" applyAlignment="1">
      <alignment vertical="center" wrapText="1"/>
    </xf>
    <xf numFmtId="0" fontId="25" fillId="3" borderId="2" xfId="3" applyFont="1" applyFill="1" applyBorder="1" applyAlignment="1">
      <alignment horizontal="right" vertical="center" wrapText="1" readingOrder="1"/>
    </xf>
    <xf numFmtId="164" fontId="24" fillId="4" borderId="2" xfId="4" applyNumberFormat="1" applyFont="1" applyFill="1" applyBorder="1" applyAlignment="1">
      <alignment vertical="center" wrapText="1"/>
    </xf>
    <xf numFmtId="9" fontId="24" fillId="8" borderId="2" xfId="4" applyFont="1" applyFill="1" applyBorder="1" applyAlignment="1">
      <alignment vertical="center" wrapText="1"/>
    </xf>
    <xf numFmtId="0" fontId="28" fillId="5" borderId="2" xfId="3" applyFont="1" applyFill="1" applyBorder="1" applyAlignment="1">
      <alignment horizontal="left" vertical="center" wrapText="1" readingOrder="1"/>
    </xf>
    <xf numFmtId="164" fontId="24" fillId="5" borderId="2" xfId="4" applyNumberFormat="1" applyFont="1" applyFill="1" applyBorder="1" applyAlignment="1">
      <alignment vertical="center" wrapText="1"/>
    </xf>
    <xf numFmtId="0" fontId="27" fillId="2" borderId="2" xfId="3" applyFont="1" applyFill="1" applyBorder="1" applyAlignment="1">
      <alignment horizontal="left" vertical="center" wrapText="1" readingOrder="1"/>
    </xf>
    <xf numFmtId="0" fontId="29" fillId="0" borderId="0" xfId="3" applyFont="1"/>
    <xf numFmtId="0" fontId="23" fillId="3" borderId="2" xfId="3" applyFont="1" applyFill="1" applyBorder="1" applyAlignment="1">
      <alignment horizontal="left" vertical="center" wrapText="1" readingOrder="1"/>
    </xf>
    <xf numFmtId="164" fontId="6" fillId="0" borderId="2" xfId="3" applyNumberFormat="1" applyFont="1" applyBorder="1" applyAlignment="1">
      <alignment vertical="center" wrapText="1"/>
    </xf>
    <xf numFmtId="0" fontId="23" fillId="7" borderId="2" xfId="3" applyFont="1" applyFill="1" applyBorder="1" applyAlignment="1">
      <alignment horizontal="left" vertical="center" wrapText="1" readingOrder="1"/>
    </xf>
    <xf numFmtId="9" fontId="4" fillId="0" borderId="0" xfId="4" applyFont="1"/>
    <xf numFmtId="0" fontId="5" fillId="0" borderId="18" xfId="3" applyFont="1" applyBorder="1" applyAlignment="1">
      <alignment horizontal="left" vertical="center" wrapText="1" readingOrder="1"/>
    </xf>
    <xf numFmtId="0" fontId="23" fillId="0" borderId="18" xfId="3" applyFont="1" applyBorder="1" applyAlignment="1">
      <alignment horizontal="left" vertical="center" wrapText="1" readingOrder="1"/>
    </xf>
    <xf numFmtId="164" fontId="6" fillId="0" borderId="2" xfId="4" applyNumberFormat="1" applyFont="1" applyBorder="1" applyAlignment="1">
      <alignment vertical="center" wrapText="1"/>
    </xf>
    <xf numFmtId="164" fontId="6" fillId="4" borderId="2" xfId="4" applyNumberFormat="1" applyFont="1" applyFill="1" applyBorder="1" applyAlignment="1">
      <alignment vertical="center" wrapText="1"/>
    </xf>
    <xf numFmtId="0" fontId="3" fillId="2" borderId="1" xfId="3" applyFont="1" applyFill="1" applyBorder="1" applyAlignment="1">
      <alignment horizontal="left" vertical="center" wrapText="1" readingOrder="1"/>
    </xf>
    <xf numFmtId="0" fontId="3" fillId="2" borderId="0" xfId="3" applyFont="1" applyFill="1" applyAlignment="1">
      <alignment horizontal="left" vertical="center" wrapText="1" readingOrder="1"/>
    </xf>
    <xf numFmtId="0" fontId="1" fillId="9" borderId="10" xfId="3" applyFill="1" applyBorder="1" applyAlignment="1">
      <alignment horizontal="left" vertical="top" wrapText="1"/>
    </xf>
    <xf numFmtId="0" fontId="1" fillId="9" borderId="11" xfId="3" applyFill="1" applyBorder="1" applyAlignment="1">
      <alignment horizontal="left" vertical="top" wrapText="1"/>
    </xf>
    <xf numFmtId="0" fontId="14" fillId="3" borderId="10" xfId="3" applyFont="1" applyFill="1" applyBorder="1" applyAlignment="1">
      <alignment horizontal="left" vertical="top" wrapText="1" readingOrder="1"/>
    </xf>
    <xf numFmtId="0" fontId="14" fillId="3" borderId="11" xfId="3" applyFont="1" applyFill="1" applyBorder="1" applyAlignment="1">
      <alignment horizontal="left" vertical="top" wrapText="1" readingOrder="1"/>
    </xf>
    <xf numFmtId="0" fontId="26" fillId="2" borderId="0" xfId="3" applyFont="1" applyFill="1" applyAlignment="1">
      <alignment horizontal="center" vertical="center" wrapText="1"/>
    </xf>
  </cellXfs>
  <cellStyles count="5">
    <cellStyle name="Comma" xfId="1" builtinId="3"/>
    <cellStyle name="Normal" xfId="0" builtinId="0"/>
    <cellStyle name="Normal 3" xfId="3" xr:uid="{AC71A077-8730-4C17-930B-2AFD106723B3}"/>
    <cellStyle name="Per cent 3" xfId="4" xr:uid="{149FFC1D-C19C-47EB-BD9A-DDB3C504926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council net debt to operating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75495431879187425"/>
          <c:h val="0.60512505609220379"/>
        </c:manualLayout>
      </c:layout>
      <c:barChart>
        <c:barDir val="col"/>
        <c:grouping val="stacked"/>
        <c:varyColors val="0"/>
        <c:ser>
          <c:idx val="1"/>
          <c:order val="1"/>
          <c:tx>
            <c:strRef>
              <c:f>'1. Charts'!$A$5</c:f>
              <c:strCache>
                <c:ptCount val="1"/>
                <c:pt idx="0">
                  <c:v>Net debt ($m)</c:v>
                </c:pt>
              </c:strCache>
            </c:strRef>
          </c:tx>
          <c:spPr>
            <a:solidFill>
              <a:srgbClr val="C8A5E3"/>
            </a:solidFill>
            <a:ln>
              <a:noFill/>
            </a:ln>
            <a:effectLst/>
          </c:spPr>
          <c:invertIfNegative val="0"/>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Charts'!$B$5:$K$5</c:f>
              <c:numCache>
                <c:formatCode>#,##0.0_ ;[Red]\(#,##0.0\)</c:formatCode>
                <c:ptCount val="10"/>
                <c:pt idx="0">
                  <c:v>47.457800000000006</c:v>
                </c:pt>
                <c:pt idx="1">
                  <c:v>65.995356959999995</c:v>
                </c:pt>
                <c:pt idx="2">
                  <c:v>87.54292479999998</c:v>
                </c:pt>
                <c:pt idx="3">
                  <c:v>104.02497919588507</c:v>
                </c:pt>
                <c:pt idx="4">
                  <c:v>116.42602711553074</c:v>
                </c:pt>
                <c:pt idx="5">
                  <c:v>131.90545997942672</c:v>
                </c:pt>
                <c:pt idx="6">
                  <c:v>143.98360511123937</c:v>
                </c:pt>
                <c:pt idx="7">
                  <c:v>149.18965812548558</c:v>
                </c:pt>
                <c:pt idx="8">
                  <c:v>150.28706763965852</c:v>
                </c:pt>
                <c:pt idx="9">
                  <c:v>152.3266761344438</c:v>
                </c:pt>
              </c:numCache>
            </c:numRef>
          </c:val>
          <c:extLst>
            <c:ext xmlns:c16="http://schemas.microsoft.com/office/drawing/2014/chart" uri="{C3380CC4-5D6E-409C-BE32-E72D297353CC}">
              <c16:uniqueId val="{00000000-3D94-488A-9137-17AEA49D5E43}"/>
            </c:ext>
          </c:extLst>
        </c:ser>
        <c:ser>
          <c:idx val="2"/>
          <c:order val="2"/>
          <c:tx>
            <c:strRef>
              <c:f>'1. Charts'!$A$6</c:f>
              <c:strCache>
                <c:ptCount val="1"/>
                <c:pt idx="0">
                  <c:v>Debt headroom to limit ($m)</c:v>
                </c:pt>
              </c:strCache>
            </c:strRef>
          </c:tx>
          <c:spPr>
            <a:solidFill>
              <a:schemeClr val="bg1">
                <a:lumMod val="85000"/>
              </a:schemeClr>
            </a:solidFill>
            <a:ln>
              <a:noFill/>
            </a:ln>
            <a:effectLst/>
          </c:spPr>
          <c:invertIfNegative val="0"/>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Charts'!$B$6:$K$6</c:f>
              <c:numCache>
                <c:formatCode>#,##0.0_ ;[Red]\(#,##0.0\)</c:formatCode>
                <c:ptCount val="10"/>
                <c:pt idx="0">
                  <c:v>18.086349999999982</c:v>
                </c:pt>
                <c:pt idx="1">
                  <c:v>0.59775439749999748</c:v>
                </c:pt>
                <c:pt idx="2">
                  <c:v>-19.483551354999975</c:v>
                </c:pt>
                <c:pt idx="3">
                  <c:v>-28.168437077403567</c:v>
                </c:pt>
                <c:pt idx="4">
                  <c:v>-35.621374914331057</c:v>
                </c:pt>
                <c:pt idx="5">
                  <c:v>-45.635453770124187</c:v>
                </c:pt>
                <c:pt idx="6">
                  <c:v>-52.083893006867001</c:v>
                </c:pt>
                <c:pt idx="7">
                  <c:v>-50.857291952958249</c:v>
                </c:pt>
                <c:pt idx="8">
                  <c:v>-52.366004152726276</c:v>
                </c:pt>
                <c:pt idx="9">
                  <c:v>-52.662758342918551</c:v>
                </c:pt>
              </c:numCache>
            </c:numRef>
          </c:val>
          <c:extLst>
            <c:ext xmlns:c16="http://schemas.microsoft.com/office/drawing/2014/chart" uri="{C3380CC4-5D6E-409C-BE32-E72D297353CC}">
              <c16:uniqueId val="{00000001-3D94-488A-9137-17AEA49D5E43}"/>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0"/>
          <c:order val="0"/>
          <c:tx>
            <c:strRef>
              <c:f>'1. Charts'!$A$4</c:f>
              <c:strCache>
                <c:ptCount val="1"/>
                <c:pt idx="0">
                  <c:v>Total operating revenue ($m)</c:v>
                </c:pt>
              </c:strCache>
            </c:strRef>
          </c:tx>
          <c:spPr>
            <a:ln w="28575" cap="rnd">
              <a:solidFill>
                <a:srgbClr val="7030A0"/>
              </a:solidFill>
              <a:round/>
            </a:ln>
            <a:effectLst/>
          </c:spPr>
          <c:marker>
            <c:symbol val="none"/>
          </c:marker>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Charts'!$B$4:$K$4</c:f>
              <c:numCache>
                <c:formatCode>#,##0.0_ ;[Red]\(#,##0.0\)</c:formatCode>
                <c:ptCount val="10"/>
                <c:pt idx="0">
                  <c:v>37.453799999999994</c:v>
                </c:pt>
                <c:pt idx="1">
                  <c:v>38.053206489999994</c:v>
                </c:pt>
                <c:pt idx="2">
                  <c:v>38.891070540000001</c:v>
                </c:pt>
                <c:pt idx="3">
                  <c:v>43.346595496275143</c:v>
                </c:pt>
                <c:pt idx="4">
                  <c:v>46.174086972114104</c:v>
                </c:pt>
                <c:pt idx="5">
                  <c:v>49.297146405315736</c:v>
                </c:pt>
                <c:pt idx="6">
                  <c:v>52.514121202498494</c:v>
                </c:pt>
                <c:pt idx="7">
                  <c:v>56.189923527158477</c:v>
                </c:pt>
                <c:pt idx="8">
                  <c:v>55.954893421104138</c:v>
                </c:pt>
                <c:pt idx="9">
                  <c:v>56.950810166585853</c:v>
                </c:pt>
              </c:numCache>
            </c:numRef>
          </c:val>
          <c:smooth val="0"/>
          <c:extLst>
            <c:ext xmlns:c16="http://schemas.microsoft.com/office/drawing/2014/chart" uri="{C3380CC4-5D6E-409C-BE32-E72D297353CC}">
              <c16:uniqueId val="{00000002-3D94-488A-9137-17AEA49D5E43}"/>
            </c:ext>
          </c:extLst>
        </c:ser>
        <c:dLbls>
          <c:showLegendKey val="0"/>
          <c:showVal val="0"/>
          <c:showCatName val="0"/>
          <c:showSerName val="0"/>
          <c:showPercent val="0"/>
          <c:showBubbleSize val="0"/>
        </c:dLbls>
        <c:marker val="1"/>
        <c:smooth val="0"/>
        <c:axId val="494290511"/>
        <c:axId val="494299631"/>
      </c:lineChart>
      <c:lineChart>
        <c:grouping val="standard"/>
        <c:varyColors val="0"/>
        <c:ser>
          <c:idx val="3"/>
          <c:order val="3"/>
          <c:tx>
            <c:strRef>
              <c:f>'1. Charts'!$A$7</c:f>
              <c:strCache>
                <c:ptCount val="1"/>
                <c:pt idx="0">
                  <c:v>Net debt to operating revenue (%)</c:v>
                </c:pt>
              </c:strCache>
            </c:strRef>
          </c:tx>
          <c:spPr>
            <a:ln w="28575" cap="rnd">
              <a:solidFill>
                <a:schemeClr val="accent6">
                  <a:lumMod val="75000"/>
                </a:schemeClr>
              </a:solidFill>
              <a:prstDash val="dash"/>
              <a:round/>
            </a:ln>
            <a:effectLst/>
          </c:spPr>
          <c:marker>
            <c:symbol val="none"/>
          </c:marker>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Charts'!$B$7:$K$7</c:f>
              <c:numCache>
                <c:formatCode>0%</c:formatCode>
                <c:ptCount val="10"/>
                <c:pt idx="0">
                  <c:v>1.2671024034944389</c:v>
                </c:pt>
                <c:pt idx="1">
                  <c:v>1.7342916155394927</c:v>
                </c:pt>
                <c:pt idx="2">
                  <c:v>2.2509775016339773</c:v>
                </c:pt>
                <c:pt idx="3">
                  <c:v>2.3998419715528554</c:v>
                </c:pt>
                <c:pt idx="4">
                  <c:v>2.5214581326934273</c:v>
                </c:pt>
                <c:pt idx="5">
                  <c:v>2.6757220163397388</c:v>
                </c:pt>
                <c:pt idx="6">
                  <c:v>2.7418073808381465</c:v>
                </c:pt>
                <c:pt idx="7">
                  <c:v>2.6550963012679167</c:v>
                </c:pt>
                <c:pt idx="8">
                  <c:v>2.6858610293228748</c:v>
                </c:pt>
                <c:pt idx="9">
                  <c:v>2.6747060434939489</c:v>
                </c:pt>
              </c:numCache>
            </c:numRef>
          </c:val>
          <c:smooth val="0"/>
          <c:extLst>
            <c:ext xmlns:c16="http://schemas.microsoft.com/office/drawing/2014/chart" uri="{C3380CC4-5D6E-409C-BE32-E72D297353CC}">
              <c16:uniqueId val="{00000003-3D94-488A-9137-17AEA49D5E43}"/>
            </c:ext>
          </c:extLst>
        </c:ser>
        <c:ser>
          <c:idx val="4"/>
          <c:order val="4"/>
          <c:tx>
            <c:strRef>
              <c:f>'1. Charts'!$A$8</c:f>
              <c:strCache>
                <c:ptCount val="1"/>
                <c:pt idx="0">
                  <c:v>Borrowing limit (%)</c:v>
                </c:pt>
              </c:strCache>
            </c:strRef>
          </c:tx>
          <c:spPr>
            <a:ln w="28575" cap="rnd">
              <a:solidFill>
                <a:srgbClr val="C00000"/>
              </a:solidFill>
              <a:prstDash val="dash"/>
              <a:round/>
            </a:ln>
            <a:effectLst/>
          </c:spPr>
          <c:marker>
            <c:symbol val="none"/>
          </c:marker>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Charts'!$B$8:$K$8</c:f>
              <c:numCache>
                <c:formatCode>#,##0%\ ;\(#,##0%\)</c:formatCode>
                <c:ptCount val="10"/>
                <c:pt idx="0">
                  <c:v>1.75</c:v>
                </c:pt>
                <c:pt idx="1">
                  <c:v>1.75</c:v>
                </c:pt>
                <c:pt idx="2">
                  <c:v>1.75</c:v>
                </c:pt>
                <c:pt idx="3">
                  <c:v>1.75</c:v>
                </c:pt>
                <c:pt idx="4">
                  <c:v>1.75</c:v>
                </c:pt>
                <c:pt idx="5">
                  <c:v>1.75</c:v>
                </c:pt>
                <c:pt idx="6">
                  <c:v>1.75</c:v>
                </c:pt>
                <c:pt idx="7">
                  <c:v>1.75</c:v>
                </c:pt>
                <c:pt idx="8">
                  <c:v>1.75</c:v>
                </c:pt>
                <c:pt idx="9">
                  <c:v>1.75</c:v>
                </c:pt>
              </c:numCache>
            </c:numRef>
          </c:val>
          <c:smooth val="0"/>
          <c:extLst>
            <c:ext xmlns:c16="http://schemas.microsoft.com/office/drawing/2014/chart" uri="{C3380CC4-5D6E-409C-BE32-E72D297353CC}">
              <c16:uniqueId val="{00000004-3D94-488A-9137-17AEA49D5E43}"/>
            </c:ext>
          </c:extLst>
        </c:ser>
        <c:dLbls>
          <c:showLegendKey val="0"/>
          <c:showVal val="0"/>
          <c:showCatName val="0"/>
          <c:showSerName val="0"/>
          <c:showPercent val="0"/>
          <c:showBubbleSize val="0"/>
        </c:dLbls>
        <c:marker val="1"/>
        <c:smooth val="0"/>
        <c:axId val="494276591"/>
        <c:axId val="49429099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valAx>
        <c:axId val="494290991"/>
        <c:scaling>
          <c:orientation val="minMax"/>
          <c:max val="3.6"/>
        </c:scaling>
        <c:delete val="0"/>
        <c:axPos val="r"/>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Net debt to operating revenue</a:t>
                </a:r>
              </a:p>
            </c:rich>
          </c:tx>
          <c:layout>
            <c:manualLayout>
              <c:xMode val="edge"/>
              <c:yMode val="edge"/>
              <c:x val="0.95109950957815714"/>
              <c:y val="0.1863002399928783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76591"/>
        <c:crosses val="max"/>
        <c:crossBetween val="between"/>
        <c:majorUnit val="0.60000000000000009"/>
      </c:valAx>
      <c:catAx>
        <c:axId val="494276591"/>
        <c:scaling>
          <c:orientation val="minMax"/>
        </c:scaling>
        <c:delete val="1"/>
        <c:axPos val="b"/>
        <c:numFmt formatCode="General" sourceLinked="1"/>
        <c:majorTickMark val="out"/>
        <c:minorTickMark val="none"/>
        <c:tickLblPos val="nextTo"/>
        <c:crossAx val="494290991"/>
        <c:crosses val="autoZero"/>
        <c:auto val="1"/>
        <c:lblAlgn val="ctr"/>
        <c:lblOffset val="100"/>
        <c:noMultiLvlLbl val="0"/>
      </c:catAx>
      <c:spPr>
        <a:noFill/>
        <a:ln>
          <a:noFill/>
        </a:ln>
        <a:effectLst/>
      </c:spPr>
    </c:plotArea>
    <c:legend>
      <c:legendPos val="b"/>
      <c:layout>
        <c:manualLayout>
          <c:xMode val="edge"/>
          <c:yMode val="edge"/>
          <c:x val="1.2374597663422433E-2"/>
          <c:y val="0.84578686234291911"/>
          <c:w val="0.95866543966888473"/>
          <c:h val="0.1265258441990214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net debt to operating revenue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75495431879187425"/>
          <c:h val="0.60512505609220379"/>
        </c:manualLayout>
      </c:layout>
      <c:barChart>
        <c:barDir val="col"/>
        <c:grouping val="stacked"/>
        <c:varyColors val="0"/>
        <c:ser>
          <c:idx val="1"/>
          <c:order val="1"/>
          <c:tx>
            <c:strRef>
              <c:f>'1. Charts'!$A$12</c:f>
              <c:strCache>
                <c:ptCount val="1"/>
                <c:pt idx="0">
                  <c:v>Net debt ($m)</c:v>
                </c:pt>
              </c:strCache>
            </c:strRef>
          </c:tx>
          <c:spPr>
            <a:solidFill>
              <a:srgbClr val="C8A5E3"/>
            </a:solidFill>
            <a:ln>
              <a:noFill/>
            </a:ln>
            <a:effectLst/>
          </c:spPr>
          <c:invertIfNegative val="0"/>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Charts'!$B$12:$K$12</c:f>
              <c:numCache>
                <c:formatCode>#,##0.0_ ;[Red]\(#,##0.0\)</c:formatCode>
                <c:ptCount val="10"/>
                <c:pt idx="0">
                  <c:v>34.071919999999999</c:v>
                </c:pt>
                <c:pt idx="1">
                  <c:v>45.836655439999994</c:v>
                </c:pt>
                <c:pt idx="2">
                  <c:v>62.693598099999996</c:v>
                </c:pt>
                <c:pt idx="3">
                  <c:v>77.301021105885084</c:v>
                </c:pt>
                <c:pt idx="4">
                  <c:v>92.688692585530745</c:v>
                </c:pt>
                <c:pt idx="5">
                  <c:v>102.04409568942673</c:v>
                </c:pt>
                <c:pt idx="6">
                  <c:v>107.21037472123933</c:v>
                </c:pt>
                <c:pt idx="7">
                  <c:v>111.42461536548556</c:v>
                </c:pt>
                <c:pt idx="8">
                  <c:v>111.56629263965853</c:v>
                </c:pt>
                <c:pt idx="9">
                  <c:v>112.60987149444378</c:v>
                </c:pt>
              </c:numCache>
            </c:numRef>
          </c:val>
          <c:extLst>
            <c:ext xmlns:c16="http://schemas.microsoft.com/office/drawing/2014/chart" uri="{C3380CC4-5D6E-409C-BE32-E72D297353CC}">
              <c16:uniqueId val="{00000000-4150-4F73-B27C-C194ABDF5053}"/>
            </c:ext>
          </c:extLst>
        </c:ser>
        <c:ser>
          <c:idx val="2"/>
          <c:order val="2"/>
          <c:tx>
            <c:strRef>
              <c:f>'1. Charts'!$A$13</c:f>
              <c:strCache>
                <c:ptCount val="1"/>
                <c:pt idx="0">
                  <c:v>Debt headroom to limit ($m)</c:v>
                </c:pt>
              </c:strCache>
            </c:strRef>
          </c:tx>
          <c:spPr>
            <a:solidFill>
              <a:srgbClr val="D9D9D9"/>
            </a:solidFill>
            <a:ln>
              <a:noFill/>
            </a:ln>
            <a:effectLst/>
          </c:spPr>
          <c:invertIfNegative val="0"/>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Charts'!$B$13:$K$13</c:f>
              <c:numCache>
                <c:formatCode>#,##0.0_ ;[Red]\(#,##0.0\)</c:formatCode>
                <c:ptCount val="10"/>
                <c:pt idx="0">
                  <c:v>25.803080000000001</c:v>
                </c:pt>
                <c:pt idx="1">
                  <c:v>17.064030260000017</c:v>
                </c:pt>
                <c:pt idx="2">
                  <c:v>1.8961768500000105</c:v>
                </c:pt>
                <c:pt idx="3">
                  <c:v>-1.3192195745093613</c:v>
                </c:pt>
                <c:pt idx="4">
                  <c:v>-5.4439562249602176</c:v>
                </c:pt>
                <c:pt idx="5">
                  <c:v>-1.8901570628480471</c:v>
                </c:pt>
                <c:pt idx="6">
                  <c:v>7.7711130412531588</c:v>
                </c:pt>
                <c:pt idx="7">
                  <c:v>20.557083520306819</c:v>
                </c:pt>
                <c:pt idx="8">
                  <c:v>17.414555465862108</c:v>
                </c:pt>
                <c:pt idx="9">
                  <c:v>21.120497238485484</c:v>
                </c:pt>
              </c:numCache>
            </c:numRef>
          </c:val>
          <c:extLst>
            <c:ext xmlns:c16="http://schemas.microsoft.com/office/drawing/2014/chart" uri="{C3380CC4-5D6E-409C-BE32-E72D297353CC}">
              <c16:uniqueId val="{00000001-4150-4F73-B27C-C194ABDF5053}"/>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0"/>
          <c:order val="0"/>
          <c:tx>
            <c:strRef>
              <c:f>'1. Charts'!$A$11</c:f>
              <c:strCache>
                <c:ptCount val="1"/>
                <c:pt idx="0">
                  <c:v>Total operating revenue ($m)</c:v>
                </c:pt>
              </c:strCache>
            </c:strRef>
          </c:tx>
          <c:spPr>
            <a:ln w="28575" cap="rnd">
              <a:solidFill>
                <a:srgbClr val="7030A0"/>
              </a:solidFill>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Charts'!$B$11:$K$11</c:f>
              <c:numCache>
                <c:formatCode>#,##0.0_ ;[Red]\(#,##0.0\)</c:formatCode>
                <c:ptCount val="10"/>
                <c:pt idx="0">
                  <c:v>11.975</c:v>
                </c:pt>
                <c:pt idx="1">
                  <c:v>12.580137140000001</c:v>
                </c:pt>
                <c:pt idx="2">
                  <c:v>12.91795499</c:v>
                </c:pt>
                <c:pt idx="3">
                  <c:v>15.196360306275144</c:v>
                </c:pt>
                <c:pt idx="4">
                  <c:v>17.448947272114104</c:v>
                </c:pt>
                <c:pt idx="5">
                  <c:v>20.030787725315736</c:v>
                </c:pt>
                <c:pt idx="6">
                  <c:v>22.996297552498497</c:v>
                </c:pt>
                <c:pt idx="7">
                  <c:v>26.396339777158477</c:v>
                </c:pt>
                <c:pt idx="8">
                  <c:v>25.796169621104127</c:v>
                </c:pt>
                <c:pt idx="9">
                  <c:v>26.74607374658585</c:v>
                </c:pt>
              </c:numCache>
            </c:numRef>
          </c:val>
          <c:smooth val="0"/>
          <c:extLst>
            <c:ext xmlns:c16="http://schemas.microsoft.com/office/drawing/2014/chart" uri="{C3380CC4-5D6E-409C-BE32-E72D297353CC}">
              <c16:uniqueId val="{00000002-4150-4F73-B27C-C194ABDF5053}"/>
            </c:ext>
          </c:extLst>
        </c:ser>
        <c:dLbls>
          <c:showLegendKey val="0"/>
          <c:showVal val="0"/>
          <c:showCatName val="0"/>
          <c:showSerName val="0"/>
          <c:showPercent val="0"/>
          <c:showBubbleSize val="0"/>
        </c:dLbls>
        <c:marker val="1"/>
        <c:smooth val="0"/>
        <c:axId val="494290511"/>
        <c:axId val="494299631"/>
      </c:lineChart>
      <c:lineChart>
        <c:grouping val="standard"/>
        <c:varyColors val="0"/>
        <c:ser>
          <c:idx val="3"/>
          <c:order val="3"/>
          <c:tx>
            <c:strRef>
              <c:f>'1. Charts'!$A$14</c:f>
              <c:strCache>
                <c:ptCount val="1"/>
                <c:pt idx="0">
                  <c:v>Net debt to operating revenue (%)</c:v>
                </c:pt>
              </c:strCache>
            </c:strRef>
          </c:tx>
          <c:spPr>
            <a:ln w="28575" cap="rnd">
              <a:solidFill>
                <a:schemeClr val="accent6">
                  <a:lumMod val="75000"/>
                </a:schemeClr>
              </a:solidFill>
              <a:prstDash val="dash"/>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Charts'!$B$14:$K$14</c:f>
              <c:numCache>
                <c:formatCode>0%</c:formatCode>
                <c:ptCount val="10"/>
                <c:pt idx="0">
                  <c:v>2.845254279749478</c:v>
                </c:pt>
                <c:pt idx="1">
                  <c:v>3.6435735898503876</c:v>
                </c:pt>
                <c:pt idx="2">
                  <c:v>4.8532138522337425</c:v>
                </c:pt>
                <c:pt idx="3">
                  <c:v>5.0868115488130803</c:v>
                </c:pt>
                <c:pt idx="4">
                  <c:v>5.3119933907795369</c:v>
                </c:pt>
                <c:pt idx="5">
                  <c:v>5.0943625926632521</c:v>
                </c:pt>
                <c:pt idx="6">
                  <c:v>4.6620711215136961</c:v>
                </c:pt>
                <c:pt idx="7">
                  <c:v>4.2212146193808477</c:v>
                </c:pt>
                <c:pt idx="8">
                  <c:v>4.3249170042820984</c:v>
                </c:pt>
                <c:pt idx="9">
                  <c:v>4.2103327973070623</c:v>
                </c:pt>
              </c:numCache>
            </c:numRef>
          </c:val>
          <c:smooth val="0"/>
          <c:extLst>
            <c:ext xmlns:c16="http://schemas.microsoft.com/office/drawing/2014/chart" uri="{C3380CC4-5D6E-409C-BE32-E72D297353CC}">
              <c16:uniqueId val="{00000003-4150-4F73-B27C-C194ABDF5053}"/>
            </c:ext>
          </c:extLst>
        </c:ser>
        <c:ser>
          <c:idx val="4"/>
          <c:order val="4"/>
          <c:tx>
            <c:strRef>
              <c:f>'1. Charts'!$A$15</c:f>
              <c:strCache>
                <c:ptCount val="1"/>
                <c:pt idx="0">
                  <c:v>Water borrowing limit (%)</c:v>
                </c:pt>
              </c:strCache>
            </c:strRef>
          </c:tx>
          <c:spPr>
            <a:ln w="28575" cap="rnd">
              <a:solidFill>
                <a:srgbClr val="00ABC5"/>
              </a:solidFill>
              <a:prstDash val="dash"/>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Charts'!$B$15:$K$15</c:f>
              <c:numCache>
                <c:formatCode>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4-4150-4F73-B27C-C194ABDF5053}"/>
            </c:ext>
          </c:extLst>
        </c:ser>
        <c:ser>
          <c:idx val="5"/>
          <c:order val="5"/>
          <c:tx>
            <c:strRef>
              <c:f>'1. Charts'!$A$16</c:f>
              <c:strCache>
                <c:ptCount val="1"/>
                <c:pt idx="0">
                  <c:v>Council borrowing limit (%)</c:v>
                </c:pt>
              </c:strCache>
            </c:strRef>
          </c:tx>
          <c:spPr>
            <a:ln w="28575" cap="rnd">
              <a:solidFill>
                <a:srgbClr val="C00000"/>
              </a:solidFill>
              <a:prstDash val="dash"/>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Charts'!$B$16:$K$16</c:f>
              <c:numCache>
                <c:formatCode>0%</c:formatCode>
                <c:ptCount val="10"/>
                <c:pt idx="0">
                  <c:v>1.5</c:v>
                </c:pt>
                <c:pt idx="1">
                  <c:v>1.5</c:v>
                </c:pt>
                <c:pt idx="2">
                  <c:v>1.5</c:v>
                </c:pt>
                <c:pt idx="3">
                  <c:v>1.5</c:v>
                </c:pt>
                <c:pt idx="4">
                  <c:v>1.5</c:v>
                </c:pt>
                <c:pt idx="5">
                  <c:v>1.5</c:v>
                </c:pt>
                <c:pt idx="6">
                  <c:v>1.5</c:v>
                </c:pt>
                <c:pt idx="7">
                  <c:v>1.5</c:v>
                </c:pt>
                <c:pt idx="8">
                  <c:v>1.5</c:v>
                </c:pt>
                <c:pt idx="9">
                  <c:v>1.5</c:v>
                </c:pt>
              </c:numCache>
            </c:numRef>
          </c:val>
          <c:smooth val="0"/>
          <c:extLst>
            <c:ext xmlns:c16="http://schemas.microsoft.com/office/drawing/2014/chart" uri="{C3380CC4-5D6E-409C-BE32-E72D297353CC}">
              <c16:uniqueId val="{00000005-4150-4F73-B27C-C194ABDF5053}"/>
            </c:ext>
          </c:extLst>
        </c:ser>
        <c:dLbls>
          <c:showLegendKey val="0"/>
          <c:showVal val="0"/>
          <c:showCatName val="0"/>
          <c:showSerName val="0"/>
          <c:showPercent val="0"/>
          <c:showBubbleSize val="0"/>
        </c:dLbls>
        <c:marker val="1"/>
        <c:smooth val="0"/>
        <c:axId val="494276591"/>
        <c:axId val="49429099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valAx>
        <c:axId val="49429099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sz="800"/>
                  <a:t>Net debt to operating revenue</a:t>
                </a:r>
              </a:p>
            </c:rich>
          </c:tx>
          <c:layout>
            <c:manualLayout>
              <c:xMode val="edge"/>
              <c:yMode val="edge"/>
              <c:x val="0.94833528207744522"/>
              <c:y val="0.19552933781223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76591"/>
        <c:crosses val="max"/>
        <c:crossBetween val="between"/>
        <c:majorUnit val="1"/>
      </c:valAx>
      <c:catAx>
        <c:axId val="494276591"/>
        <c:scaling>
          <c:orientation val="minMax"/>
        </c:scaling>
        <c:delete val="1"/>
        <c:axPos val="b"/>
        <c:numFmt formatCode="General" sourceLinked="1"/>
        <c:majorTickMark val="out"/>
        <c:minorTickMark val="none"/>
        <c:tickLblPos val="nextTo"/>
        <c:crossAx val="494290991"/>
        <c:crosses val="autoZero"/>
        <c:auto val="1"/>
        <c:lblAlgn val="ctr"/>
        <c:lblOffset val="100"/>
        <c:noMultiLvlLbl val="0"/>
      </c:catAx>
      <c:spPr>
        <a:noFill/>
        <a:ln>
          <a:noFill/>
        </a:ln>
        <a:effectLst/>
      </c:spPr>
    </c:plotArea>
    <c:legend>
      <c:legendPos val="b"/>
      <c:layout>
        <c:manualLayout>
          <c:xMode val="edge"/>
          <c:yMode val="edge"/>
          <c:x val="8.2222004201492074E-2"/>
          <c:y val="0.84578667891593939"/>
          <c:w val="0.87362826570560925"/>
          <c:h val="0.1279632521819016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investment requirements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81884317585301836"/>
          <c:h val="0.60512505609220379"/>
        </c:manualLayout>
      </c:layout>
      <c:barChart>
        <c:barDir val="col"/>
        <c:grouping val="stacked"/>
        <c:varyColors val="0"/>
        <c:ser>
          <c:idx val="0"/>
          <c:order val="0"/>
          <c:tx>
            <c:strRef>
              <c:f>'1. Charts'!$A$19</c:f>
              <c:strCache>
                <c:ptCount val="1"/>
                <c:pt idx="0">
                  <c:v>To replace existing assets ($m)</c:v>
                </c:pt>
              </c:strCache>
            </c:strRef>
          </c:tx>
          <c:spPr>
            <a:solidFill>
              <a:srgbClr val="F1E8F8"/>
            </a:solidFill>
            <a:ln>
              <a:noFill/>
            </a:ln>
            <a:effectLst/>
          </c:spPr>
          <c:invertIfNegative val="0"/>
          <c:cat>
            <c:strRef>
              <c:f>'1. Charts'!$B$18:$K$18</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Charts'!$B$19:$K$19</c:f>
              <c:numCache>
                <c:formatCode>#,##0.0_ ;[Red]\(#,##0.0\)</c:formatCode>
                <c:ptCount val="10"/>
                <c:pt idx="0">
                  <c:v>5.8071999999999999</c:v>
                </c:pt>
                <c:pt idx="1">
                  <c:v>6.4152380000000004</c:v>
                </c:pt>
                <c:pt idx="2">
                  <c:v>5.0335199999999993</c:v>
                </c:pt>
                <c:pt idx="3">
                  <c:v>1.9344654999999999</c:v>
                </c:pt>
                <c:pt idx="4">
                  <c:v>1.8902015000000001</c:v>
                </c:pt>
                <c:pt idx="5">
                  <c:v>4.6522330671058345</c:v>
                </c:pt>
                <c:pt idx="6">
                  <c:v>4.9930066601457774</c:v>
                </c:pt>
                <c:pt idx="7">
                  <c:v>5.3390357791921907</c:v>
                </c:pt>
                <c:pt idx="8">
                  <c:v>5.3265646888579603</c:v>
                </c:pt>
                <c:pt idx="9">
                  <c:v>5.7621097806237964</c:v>
                </c:pt>
              </c:numCache>
            </c:numRef>
          </c:val>
          <c:extLst>
            <c:ext xmlns:c16="http://schemas.microsoft.com/office/drawing/2014/chart" uri="{C3380CC4-5D6E-409C-BE32-E72D297353CC}">
              <c16:uniqueId val="{00000000-8C7B-45A8-B5EF-6ADFF5E524E0}"/>
            </c:ext>
          </c:extLst>
        </c:ser>
        <c:ser>
          <c:idx val="1"/>
          <c:order val="1"/>
          <c:tx>
            <c:strRef>
              <c:f>'1. Charts'!$A$20</c:f>
              <c:strCache>
                <c:ptCount val="1"/>
                <c:pt idx="0">
                  <c:v>To improve levels of service ($m)</c:v>
                </c:pt>
              </c:strCache>
            </c:strRef>
          </c:tx>
          <c:spPr>
            <a:solidFill>
              <a:srgbClr val="C8A5E3"/>
            </a:solidFill>
            <a:ln>
              <a:noFill/>
            </a:ln>
            <a:effectLst/>
          </c:spPr>
          <c:invertIfNegative val="0"/>
          <c:cat>
            <c:strRef>
              <c:f>'1. Charts'!$B$18:$K$18</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Charts'!$B$20:$K$20</c:f>
              <c:numCache>
                <c:formatCode>#,##0.0_ ;[Red]\(#,##0.0\)</c:formatCode>
                <c:ptCount val="10"/>
                <c:pt idx="0">
                  <c:v>7.5073999999999996</c:v>
                </c:pt>
                <c:pt idx="1">
                  <c:v>6.0802399999999999</c:v>
                </c:pt>
                <c:pt idx="2">
                  <c:v>11.689765</c:v>
                </c:pt>
                <c:pt idx="3">
                  <c:v>9.5141531594999993</c:v>
                </c:pt>
                <c:pt idx="4">
                  <c:v>13.252749878500001</c:v>
                </c:pt>
                <c:pt idx="5">
                  <c:v>8.2784517231158112</c:v>
                </c:pt>
                <c:pt idx="6">
                  <c:v>9.2205525563727644</c:v>
                </c:pt>
                <c:pt idx="7">
                  <c:v>10.21760271310194</c:v>
                </c:pt>
                <c:pt idx="8">
                  <c:v>6.1716657343380268</c:v>
                </c:pt>
                <c:pt idx="9">
                  <c:v>6.7423591924395438</c:v>
                </c:pt>
              </c:numCache>
            </c:numRef>
          </c:val>
          <c:extLst>
            <c:ext xmlns:c16="http://schemas.microsoft.com/office/drawing/2014/chart" uri="{C3380CC4-5D6E-409C-BE32-E72D297353CC}">
              <c16:uniqueId val="{00000001-8C7B-45A8-B5EF-6ADFF5E524E0}"/>
            </c:ext>
          </c:extLst>
        </c:ser>
        <c:ser>
          <c:idx val="2"/>
          <c:order val="2"/>
          <c:tx>
            <c:strRef>
              <c:f>'1. Charts'!$A$21</c:f>
              <c:strCache>
                <c:ptCount val="1"/>
                <c:pt idx="0">
                  <c:v>To meet additional demand ($m)</c:v>
                </c:pt>
              </c:strCache>
            </c:strRef>
          </c:tx>
          <c:spPr>
            <a:solidFill>
              <a:srgbClr val="7030A0"/>
            </a:solidFill>
            <a:ln>
              <a:noFill/>
            </a:ln>
            <a:effectLst/>
          </c:spPr>
          <c:invertIfNegative val="0"/>
          <c:cat>
            <c:strRef>
              <c:f>'1. Charts'!$B$18:$K$18</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Charts'!$B$21:$K$21</c:f>
              <c:numCache>
                <c:formatCode>#,##0.0_ ;[Red]\(#,##0.0\)</c:formatCode>
                <c:ptCount val="10"/>
                <c:pt idx="0">
                  <c:v>0</c:v>
                </c:pt>
                <c:pt idx="1">
                  <c:v>0.99268400000000001</c:v>
                </c:pt>
                <c:pt idx="2">
                  <c:v>2.9844180000000002</c:v>
                </c:pt>
                <c:pt idx="3">
                  <c:v>5.2249999999999996</c:v>
                </c:pt>
                <c:pt idx="4">
                  <c:v>3.3000000000000003</c:v>
                </c:pt>
                <c:pt idx="5">
                  <c:v>2.1991724733250217</c:v>
                </c:pt>
                <c:pt idx="6">
                  <c:v>0</c:v>
                </c:pt>
                <c:pt idx="7">
                  <c:v>0</c:v>
                </c:pt>
                <c:pt idx="8">
                  <c:v>0</c:v>
                </c:pt>
                <c:pt idx="9">
                  <c:v>0</c:v>
                </c:pt>
              </c:numCache>
            </c:numRef>
          </c:val>
          <c:extLst>
            <c:ext xmlns:c16="http://schemas.microsoft.com/office/drawing/2014/chart" uri="{C3380CC4-5D6E-409C-BE32-E72D297353CC}">
              <c16:uniqueId val="{00000002-8C7B-45A8-B5EF-6ADFF5E524E0}"/>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3"/>
          <c:order val="3"/>
          <c:tx>
            <c:strRef>
              <c:f>'1. Charts'!$A$22</c:f>
              <c:strCache>
                <c:ptCount val="1"/>
                <c:pt idx="0">
                  <c:v>Depreciation ($m)</c:v>
                </c:pt>
              </c:strCache>
            </c:strRef>
          </c:tx>
          <c:spPr>
            <a:ln w="28575" cap="rnd">
              <a:solidFill>
                <a:schemeClr val="accent6">
                  <a:lumMod val="75000"/>
                </a:schemeClr>
              </a:solidFill>
              <a:prstDash val="dash"/>
              <a:round/>
            </a:ln>
            <a:effectLst/>
          </c:spPr>
          <c:marker>
            <c:symbol val="none"/>
          </c:marker>
          <c:cat>
            <c:strRef>
              <c:f>'1. Charts'!$B$18:$K$18</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Charts'!$B$22:$K$22</c:f>
              <c:numCache>
                <c:formatCode>#,##0.0_ ;[Red]\(#,##0.0\)</c:formatCode>
                <c:ptCount val="10"/>
                <c:pt idx="0">
                  <c:v>2.4900000000000002</c:v>
                </c:pt>
                <c:pt idx="1">
                  <c:v>2.52416865</c:v>
                </c:pt>
                <c:pt idx="2">
                  <c:v>2.9698322200000002</c:v>
                </c:pt>
                <c:pt idx="3">
                  <c:v>3.2647691999999999</c:v>
                </c:pt>
                <c:pt idx="4">
                  <c:v>3.9931010599999999</c:v>
                </c:pt>
                <c:pt idx="5">
                  <c:v>4.4126920599999995</c:v>
                </c:pt>
                <c:pt idx="6">
                  <c:v>5.3395172759938738</c:v>
                </c:pt>
                <c:pt idx="7">
                  <c:v>5.8424173483792599</c:v>
                </c:pt>
                <c:pt idx="8">
                  <c:v>6.5722321212480983</c:v>
                </c:pt>
                <c:pt idx="9">
                  <c:v>6.7851462380683145</c:v>
                </c:pt>
              </c:numCache>
            </c:numRef>
          </c:val>
          <c:smooth val="0"/>
          <c:extLst>
            <c:ext xmlns:c16="http://schemas.microsoft.com/office/drawing/2014/chart" uri="{C3380CC4-5D6E-409C-BE32-E72D297353CC}">
              <c16:uniqueId val="{00000003-8C7B-45A8-B5EF-6ADFF5E524E0}"/>
            </c:ext>
          </c:extLst>
        </c:ser>
        <c:dLbls>
          <c:showLegendKey val="0"/>
          <c:showVal val="0"/>
          <c:showCatName val="0"/>
          <c:showSerName val="0"/>
          <c:showPercent val="0"/>
          <c:showBubbleSize val="0"/>
        </c:dLbls>
        <c:marker val="1"/>
        <c:smooth val="0"/>
        <c:axId val="494290511"/>
        <c:axId val="494299631"/>
      </c:lineChart>
      <c:catAx>
        <c:axId val="494290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spPr>
        <a:noFill/>
        <a:ln>
          <a:noFill/>
        </a:ln>
        <a:effectLst/>
      </c:spPr>
    </c:plotArea>
    <c:legend>
      <c:legendPos val="b"/>
      <c:layout>
        <c:manualLayout>
          <c:xMode val="edge"/>
          <c:yMode val="edge"/>
          <c:x val="1.2374597663422433E-2"/>
          <c:y val="0.84578686234291911"/>
          <c:w val="0.95866543966888473"/>
          <c:h val="0.1265258441990214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revenue and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81884317585301836"/>
          <c:h val="0.60512505609220379"/>
        </c:manualLayout>
      </c:layout>
      <c:barChart>
        <c:barDir val="col"/>
        <c:grouping val="stacked"/>
        <c:varyColors val="0"/>
        <c:ser>
          <c:idx val="0"/>
          <c:order val="0"/>
          <c:tx>
            <c:strRef>
              <c:f>'1. Charts'!$A$36</c:f>
              <c:strCache>
                <c:ptCount val="1"/>
                <c:pt idx="0">
                  <c:v>Expenses (excl. depn, interest) ($m)</c:v>
                </c:pt>
              </c:strCache>
            </c:strRef>
          </c:tx>
          <c:spPr>
            <a:solidFill>
              <a:srgbClr val="F1E8F8"/>
            </a:solidFill>
            <a:ln>
              <a:noFill/>
            </a:ln>
            <a:effectLst/>
          </c:spPr>
          <c:invertIfNegative val="0"/>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Charts'!$B$36:$K$36</c:f>
              <c:numCache>
                <c:formatCode>#,##0.0_ ;[Red]\(#,##0.0\)</c:formatCode>
                <c:ptCount val="10"/>
                <c:pt idx="0">
                  <c:v>9.7716000000000012</c:v>
                </c:pt>
                <c:pt idx="1">
                  <c:v>9.7266461299999989</c:v>
                </c:pt>
                <c:pt idx="2">
                  <c:v>8.2314339200000006</c:v>
                </c:pt>
                <c:pt idx="3">
                  <c:v>8.1258413321004781</c:v>
                </c:pt>
                <c:pt idx="4">
                  <c:v>9.7379396404029919</c:v>
                </c:pt>
                <c:pt idx="5">
                  <c:v>8.8421439354235822</c:v>
                </c:pt>
                <c:pt idx="6">
                  <c:v>8.0676083397149192</c:v>
                </c:pt>
                <c:pt idx="7">
                  <c:v>8.8570662191088729</c:v>
                </c:pt>
                <c:pt idx="8">
                  <c:v>8.0869905252322312</c:v>
                </c:pt>
                <c:pt idx="9">
                  <c:v>8.8732767925572418</c:v>
                </c:pt>
              </c:numCache>
            </c:numRef>
          </c:val>
          <c:extLst>
            <c:ext xmlns:c16="http://schemas.microsoft.com/office/drawing/2014/chart" uri="{C3380CC4-5D6E-409C-BE32-E72D297353CC}">
              <c16:uniqueId val="{00000000-7968-4036-A21A-4580C58DD88D}"/>
            </c:ext>
          </c:extLst>
        </c:ser>
        <c:ser>
          <c:idx val="1"/>
          <c:order val="1"/>
          <c:tx>
            <c:strRef>
              <c:f>'1. Charts'!$A$37</c:f>
              <c:strCache>
                <c:ptCount val="1"/>
                <c:pt idx="0">
                  <c:v>Interest costs ($m)</c:v>
                </c:pt>
              </c:strCache>
            </c:strRef>
          </c:tx>
          <c:spPr>
            <a:solidFill>
              <a:srgbClr val="C8A5E3"/>
            </a:solidFill>
            <a:ln>
              <a:noFill/>
            </a:ln>
            <a:effectLst/>
          </c:spPr>
          <c:invertIfNegative val="0"/>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Charts'!$B$37:$K$37</c:f>
              <c:numCache>
                <c:formatCode>#,##0.0_ ;[Red]\(#,##0.0\)</c:formatCode>
                <c:ptCount val="10"/>
                <c:pt idx="0">
                  <c:v>0.95120000000000005</c:v>
                </c:pt>
                <c:pt idx="1">
                  <c:v>1.52997345</c:v>
                </c:pt>
                <c:pt idx="2">
                  <c:v>2.2356697300000001</c:v>
                </c:pt>
                <c:pt idx="3">
                  <c:v>4.1542323205597596</c:v>
                </c:pt>
                <c:pt idx="4">
                  <c:v>5.0556367328567706</c:v>
                </c:pt>
                <c:pt idx="5">
                  <c:v>5.8140986302414799</c:v>
                </c:pt>
                <c:pt idx="6">
                  <c:v>6.2813180280776519</c:v>
                </c:pt>
                <c:pt idx="7">
                  <c:v>6.5967847100016979</c:v>
                </c:pt>
                <c:pt idx="8">
                  <c:v>6.7525349468488578</c:v>
                </c:pt>
                <c:pt idx="9">
                  <c:v>6.8118158357505543</c:v>
                </c:pt>
              </c:numCache>
            </c:numRef>
          </c:val>
          <c:extLst>
            <c:ext xmlns:c16="http://schemas.microsoft.com/office/drawing/2014/chart" uri="{C3380CC4-5D6E-409C-BE32-E72D297353CC}">
              <c16:uniqueId val="{00000001-7968-4036-A21A-4580C58DD88D}"/>
            </c:ext>
          </c:extLst>
        </c:ser>
        <c:ser>
          <c:idx val="2"/>
          <c:order val="2"/>
          <c:tx>
            <c:strRef>
              <c:f>'1. Charts'!$A$38</c:f>
              <c:strCache>
                <c:ptCount val="1"/>
                <c:pt idx="0">
                  <c:v>Depreciation ($m)</c:v>
                </c:pt>
              </c:strCache>
            </c:strRef>
          </c:tx>
          <c:spPr>
            <a:solidFill>
              <a:srgbClr val="7030A0"/>
            </a:solidFill>
            <a:ln>
              <a:noFill/>
            </a:ln>
            <a:effectLst/>
          </c:spPr>
          <c:invertIfNegative val="0"/>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Charts'!$B$38:$K$38</c:f>
              <c:numCache>
                <c:formatCode>#,##0.0_ ;[Red]\(#,##0.0\)</c:formatCode>
                <c:ptCount val="10"/>
                <c:pt idx="0">
                  <c:v>2.4900000000000002</c:v>
                </c:pt>
                <c:pt idx="1">
                  <c:v>2.52416865</c:v>
                </c:pt>
                <c:pt idx="2">
                  <c:v>2.9698322200000002</c:v>
                </c:pt>
                <c:pt idx="3">
                  <c:v>3.2647691999999999</c:v>
                </c:pt>
                <c:pt idx="4">
                  <c:v>3.9931010599999999</c:v>
                </c:pt>
                <c:pt idx="5">
                  <c:v>4.4126920599999995</c:v>
                </c:pt>
                <c:pt idx="6">
                  <c:v>5.3395172759938738</c:v>
                </c:pt>
                <c:pt idx="7">
                  <c:v>5.8424173483792599</c:v>
                </c:pt>
                <c:pt idx="8">
                  <c:v>6.5722321212480983</c:v>
                </c:pt>
                <c:pt idx="9">
                  <c:v>6.7851462380683145</c:v>
                </c:pt>
              </c:numCache>
            </c:numRef>
          </c:val>
          <c:extLst>
            <c:ext xmlns:c16="http://schemas.microsoft.com/office/drawing/2014/chart" uri="{C3380CC4-5D6E-409C-BE32-E72D297353CC}">
              <c16:uniqueId val="{00000002-7968-4036-A21A-4580C58DD88D}"/>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3"/>
          <c:order val="3"/>
          <c:tx>
            <c:strRef>
              <c:f>'1. Charts'!$A$39</c:f>
              <c:strCache>
                <c:ptCount val="1"/>
                <c:pt idx="0">
                  <c:v>Operating revenue ($m)</c:v>
                </c:pt>
              </c:strCache>
            </c:strRef>
          </c:tx>
          <c:spPr>
            <a:ln w="28575" cap="rnd">
              <a:solidFill>
                <a:schemeClr val="accent6">
                  <a:lumMod val="75000"/>
                </a:schemeClr>
              </a:solidFill>
              <a:round/>
            </a:ln>
            <a:effectLst/>
          </c:spPr>
          <c:marker>
            <c:symbol val="none"/>
          </c:marker>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Charts'!$B$39:$K$39</c:f>
              <c:numCache>
                <c:formatCode>#,##0.0_ ;[Red]\(#,##0.0\)</c:formatCode>
                <c:ptCount val="10"/>
                <c:pt idx="0">
                  <c:v>11.975</c:v>
                </c:pt>
                <c:pt idx="1">
                  <c:v>12.580137140000001</c:v>
                </c:pt>
                <c:pt idx="2">
                  <c:v>12.91795499</c:v>
                </c:pt>
                <c:pt idx="3">
                  <c:v>15.196360306275144</c:v>
                </c:pt>
                <c:pt idx="4">
                  <c:v>17.448947272114104</c:v>
                </c:pt>
                <c:pt idx="5">
                  <c:v>20.030787725315736</c:v>
                </c:pt>
                <c:pt idx="6">
                  <c:v>22.996297552498497</c:v>
                </c:pt>
                <c:pt idx="7">
                  <c:v>26.396339777158477</c:v>
                </c:pt>
                <c:pt idx="8">
                  <c:v>25.796169621104127</c:v>
                </c:pt>
                <c:pt idx="9">
                  <c:v>26.74607374658585</c:v>
                </c:pt>
              </c:numCache>
            </c:numRef>
          </c:val>
          <c:smooth val="0"/>
          <c:extLst>
            <c:ext xmlns:c16="http://schemas.microsoft.com/office/drawing/2014/chart" uri="{C3380CC4-5D6E-409C-BE32-E72D297353CC}">
              <c16:uniqueId val="{00000003-7968-4036-A21A-4580C58DD88D}"/>
            </c:ext>
          </c:extLst>
        </c:ser>
        <c:ser>
          <c:idx val="4"/>
          <c:order val="4"/>
          <c:tx>
            <c:strRef>
              <c:f>'1. Charts'!$A$40</c:f>
              <c:strCache>
                <c:ptCount val="1"/>
                <c:pt idx="0">
                  <c:v>Net operating surplus/(deficit) ($m)</c:v>
                </c:pt>
              </c:strCache>
            </c:strRef>
          </c:tx>
          <c:spPr>
            <a:ln w="28575" cap="rnd">
              <a:solidFill>
                <a:srgbClr val="C00000"/>
              </a:solidFill>
              <a:prstDash val="dash"/>
              <a:round/>
            </a:ln>
            <a:effectLst/>
          </c:spPr>
          <c:marker>
            <c:symbol val="none"/>
          </c:marker>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Charts'!$B$40:$K$40</c:f>
              <c:numCache>
                <c:formatCode>#,##0.0_ ;[Red]\(#,##0.0\)</c:formatCode>
                <c:ptCount val="10"/>
                <c:pt idx="0">
                  <c:v>-1.2378000000000018</c:v>
                </c:pt>
                <c:pt idx="1">
                  <c:v>-1.2006510899999974</c:v>
                </c:pt>
                <c:pt idx="2">
                  <c:v>-0.51898088000000087</c:v>
                </c:pt>
                <c:pt idx="3">
                  <c:v>-0.34848254638509424</c:v>
                </c:pt>
                <c:pt idx="4">
                  <c:v>-1.3377301611456573</c:v>
                </c:pt>
                <c:pt idx="5">
                  <c:v>0.96185309965067489</c:v>
                </c:pt>
                <c:pt idx="6">
                  <c:v>3.3078539087120511</c:v>
                </c:pt>
                <c:pt idx="7">
                  <c:v>5.1000714996686476</c:v>
                </c:pt>
                <c:pt idx="8">
                  <c:v>4.384412027774939</c:v>
                </c:pt>
                <c:pt idx="9">
                  <c:v>4.2758348802097395</c:v>
                </c:pt>
              </c:numCache>
            </c:numRef>
          </c:val>
          <c:smooth val="0"/>
          <c:extLst>
            <c:ext xmlns:c16="http://schemas.microsoft.com/office/drawing/2014/chart" uri="{C3380CC4-5D6E-409C-BE32-E72D297353CC}">
              <c16:uniqueId val="{00000004-7968-4036-A21A-4580C58DD88D}"/>
            </c:ext>
          </c:extLst>
        </c:ser>
        <c:dLbls>
          <c:showLegendKey val="0"/>
          <c:showVal val="0"/>
          <c:showCatName val="0"/>
          <c:showSerName val="0"/>
          <c:showPercent val="0"/>
          <c:showBubbleSize val="0"/>
        </c:dLbls>
        <c:marker val="1"/>
        <c:smooth val="0"/>
        <c:axId val="494290511"/>
        <c:axId val="49429963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spPr>
        <a:noFill/>
        <a:ln>
          <a:noFill/>
        </a:ln>
        <a:effectLst/>
      </c:spPr>
    </c:plotArea>
    <c:legend>
      <c:legendPos val="b"/>
      <c:layout>
        <c:manualLayout>
          <c:xMode val="edge"/>
          <c:yMode val="edge"/>
          <c:x val="1.2374597663422433E-2"/>
          <c:y val="0.84578686234291911"/>
          <c:w val="0.98762532808398951"/>
          <c:h val="0.1542130509548375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FFO to net debt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75495431879187425"/>
          <c:h val="0.60512505609220379"/>
        </c:manualLayout>
      </c:layout>
      <c:barChart>
        <c:barDir val="col"/>
        <c:grouping val="stacked"/>
        <c:varyColors val="0"/>
        <c:ser>
          <c:idx val="1"/>
          <c:order val="1"/>
          <c:tx>
            <c:strRef>
              <c:f>'1. Charts'!$A$32</c:f>
              <c:strCache>
                <c:ptCount val="1"/>
                <c:pt idx="0">
                  <c:v>Net debt ($m)</c:v>
                </c:pt>
              </c:strCache>
            </c:strRef>
          </c:tx>
          <c:spPr>
            <a:solidFill>
              <a:srgbClr val="C8A5E3"/>
            </a:solidFill>
            <a:ln>
              <a:noFill/>
            </a:ln>
            <a:effectLst/>
          </c:spPr>
          <c:invertIfNegative val="0"/>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Charts'!$B$32:$K$32</c:f>
              <c:numCache>
                <c:formatCode>#,##0.0_ ;[Red]\(#,##0.0\)</c:formatCode>
                <c:ptCount val="10"/>
                <c:pt idx="0">
                  <c:v>34.071919999999999</c:v>
                </c:pt>
                <c:pt idx="1">
                  <c:v>45.836655439999994</c:v>
                </c:pt>
                <c:pt idx="2">
                  <c:v>62.693598099999996</c:v>
                </c:pt>
                <c:pt idx="3">
                  <c:v>77.301021105885084</c:v>
                </c:pt>
                <c:pt idx="4">
                  <c:v>92.688692585530745</c:v>
                </c:pt>
                <c:pt idx="5">
                  <c:v>102.04409568942673</c:v>
                </c:pt>
                <c:pt idx="6">
                  <c:v>107.21037472123933</c:v>
                </c:pt>
                <c:pt idx="7">
                  <c:v>111.42461536548556</c:v>
                </c:pt>
                <c:pt idx="8">
                  <c:v>111.56629263965853</c:v>
                </c:pt>
                <c:pt idx="9">
                  <c:v>112.60987149444378</c:v>
                </c:pt>
              </c:numCache>
            </c:numRef>
          </c:val>
          <c:extLst>
            <c:ext xmlns:c16="http://schemas.microsoft.com/office/drawing/2014/chart" uri="{C3380CC4-5D6E-409C-BE32-E72D297353CC}">
              <c16:uniqueId val="{00000000-BB10-43E4-AA7A-199981C58881}"/>
            </c:ext>
          </c:extLst>
        </c:ser>
        <c:ser>
          <c:idx val="2"/>
          <c:order val="2"/>
          <c:tx>
            <c:strRef>
              <c:f>'1. Charts'!$A$33</c:f>
              <c:strCache>
                <c:ptCount val="1"/>
                <c:pt idx="0">
                  <c:v>Debt headroom to FFO covenant ($000s)</c:v>
                </c:pt>
              </c:strCache>
            </c:strRef>
          </c:tx>
          <c:spPr>
            <a:solidFill>
              <a:srgbClr val="D9D9D9"/>
            </a:solidFill>
            <a:ln>
              <a:noFill/>
            </a:ln>
            <a:effectLst/>
          </c:spPr>
          <c:invertIfNegative val="0"/>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Charts'!$B$33:$K$33</c:f>
              <c:numCache>
                <c:formatCode>#,##0.0\ ;\(#,##0.0\)</c:formatCode>
                <c:ptCount val="10"/>
                <c:pt idx="0">
                  <c:v>-17.84858666666668</c:v>
                </c:pt>
                <c:pt idx="1">
                  <c:v>-28.90918810666664</c:v>
                </c:pt>
                <c:pt idx="2">
                  <c:v>-33.240199877777783</c:v>
                </c:pt>
                <c:pt idx="3">
                  <c:v>-42.676119399052766</c:v>
                </c:pt>
                <c:pt idx="4">
                  <c:v>-60.962854820482498</c:v>
                </c:pt>
                <c:pt idx="5">
                  <c:v>-40.105210582196996</c:v>
                </c:pt>
                <c:pt idx="6">
                  <c:v>-8.9067560022846095</c:v>
                </c:pt>
                <c:pt idx="7">
                  <c:v>12.380310723935622</c:v>
                </c:pt>
                <c:pt idx="8">
                  <c:v>12.395914571708531</c:v>
                </c:pt>
                <c:pt idx="9">
                  <c:v>12.51163537531238</c:v>
                </c:pt>
              </c:numCache>
            </c:numRef>
          </c:val>
          <c:extLst>
            <c:ext xmlns:c16="http://schemas.microsoft.com/office/drawing/2014/chart" uri="{C3380CC4-5D6E-409C-BE32-E72D297353CC}">
              <c16:uniqueId val="{00000001-BB10-43E4-AA7A-199981C58881}"/>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0"/>
          <c:order val="0"/>
          <c:tx>
            <c:strRef>
              <c:f>'1. Charts'!$A$27</c:f>
              <c:strCache>
                <c:ptCount val="1"/>
                <c:pt idx="0">
                  <c:v>FFO to debt ratio (%)</c:v>
                </c:pt>
              </c:strCache>
            </c:strRef>
          </c:tx>
          <c:spPr>
            <a:ln w="28575" cap="rnd">
              <a:solidFill>
                <a:schemeClr val="accent1"/>
              </a:solidFill>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Charts'!$B$27:$K$27</c:f>
              <c:numCache>
                <c:formatCode>#,##0.0%\ ;\(#,##0.0%\)</c:formatCode>
                <c:ptCount val="10"/>
                <c:pt idx="0">
                  <c:v>4.2853469954144019E-2</c:v>
                </c:pt>
                <c:pt idx="1">
                  <c:v>3.3236981306243446E-2</c:v>
                </c:pt>
                <c:pt idx="2">
                  <c:v>4.2281922243030415E-2</c:v>
                </c:pt>
                <c:pt idx="3">
                  <c:v>4.0313065843546311E-2</c:v>
                </c:pt>
                <c:pt idx="4">
                  <c:v>3.0805541854196736E-2</c:v>
                </c:pt>
                <c:pt idx="5">
                  <c:v>5.4628341032260982E-2</c:v>
                </c:pt>
                <c:pt idx="6">
                  <c:v>8.2523036671685007E-2</c:v>
                </c:pt>
                <c:pt idx="7">
                  <c:v>9.9999836764070579E-2</c:v>
                </c:pt>
                <c:pt idx="8">
                  <c:v>9.9999725589673252E-2</c:v>
                </c:pt>
                <c:pt idx="9">
                  <c:v>9.999954239210436E-2</c:v>
                </c:pt>
              </c:numCache>
            </c:numRef>
          </c:val>
          <c:smooth val="0"/>
          <c:extLst>
            <c:ext xmlns:c16="http://schemas.microsoft.com/office/drawing/2014/chart" uri="{C3380CC4-5D6E-409C-BE32-E72D297353CC}">
              <c16:uniqueId val="{00000002-BB10-43E4-AA7A-199981C58881}"/>
            </c:ext>
          </c:extLst>
        </c:ser>
        <c:ser>
          <c:idx val="5"/>
          <c:order val="3"/>
          <c:tx>
            <c:strRef>
              <c:f>'1. Charts'!$A$30</c:f>
              <c:strCache>
                <c:ptCount val="1"/>
                <c:pt idx="0">
                  <c:v>Water services FFO covenant (LGFA)</c:v>
                </c:pt>
              </c:strCache>
            </c:strRef>
          </c:tx>
          <c:spPr>
            <a:ln w="28575" cap="rnd">
              <a:solidFill>
                <a:srgbClr val="C00000"/>
              </a:solidFill>
              <a:prstDash val="dash"/>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Charts'!$B$30:$K$30</c:f>
              <c:numCache>
                <c:formatCode>#,##0.0%\ ;\(#,##0.0%\)</c:formatCode>
                <c:ptCount val="10"/>
                <c:pt idx="0">
                  <c:v>0.09</c:v>
                </c:pt>
                <c:pt idx="1">
                  <c:v>0.09</c:v>
                </c:pt>
                <c:pt idx="2">
                  <c:v>0.09</c:v>
                </c:pt>
                <c:pt idx="3">
                  <c:v>0.09</c:v>
                </c:pt>
                <c:pt idx="4">
                  <c:v>0.09</c:v>
                </c:pt>
                <c:pt idx="5">
                  <c:v>0.09</c:v>
                </c:pt>
                <c:pt idx="6">
                  <c:v>0.09</c:v>
                </c:pt>
                <c:pt idx="7">
                  <c:v>0.09</c:v>
                </c:pt>
                <c:pt idx="8">
                  <c:v>0.09</c:v>
                </c:pt>
                <c:pt idx="9">
                  <c:v>0.09</c:v>
                </c:pt>
              </c:numCache>
            </c:numRef>
          </c:val>
          <c:smooth val="0"/>
          <c:extLst>
            <c:ext xmlns:c16="http://schemas.microsoft.com/office/drawing/2014/chart" uri="{C3380CC4-5D6E-409C-BE32-E72D297353CC}">
              <c16:uniqueId val="{00000003-BB10-43E4-AA7A-199981C58881}"/>
            </c:ext>
          </c:extLst>
        </c:ser>
        <c:dLbls>
          <c:showLegendKey val="0"/>
          <c:showVal val="0"/>
          <c:showCatName val="0"/>
          <c:showSerName val="0"/>
          <c:showPercent val="0"/>
          <c:showBubbleSize val="0"/>
        </c:dLbls>
        <c:marker val="1"/>
        <c:smooth val="0"/>
        <c:axId val="494276591"/>
        <c:axId val="49429099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valAx>
        <c:axId val="49429099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sz="800"/>
                  <a:t>FFO to net debt</a:t>
                </a:r>
              </a:p>
            </c:rich>
          </c:tx>
          <c:layout>
            <c:manualLayout>
              <c:xMode val="edge"/>
              <c:yMode val="edge"/>
              <c:x val="0.94833528207744522"/>
              <c:y val="0.19552933781223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76591"/>
        <c:crosses val="max"/>
        <c:crossBetween val="between"/>
      </c:valAx>
      <c:catAx>
        <c:axId val="494276591"/>
        <c:scaling>
          <c:orientation val="minMax"/>
        </c:scaling>
        <c:delete val="1"/>
        <c:axPos val="b"/>
        <c:numFmt formatCode="General" sourceLinked="1"/>
        <c:majorTickMark val="out"/>
        <c:minorTickMark val="none"/>
        <c:tickLblPos val="nextTo"/>
        <c:crossAx val="494290991"/>
        <c:crosses val="autoZero"/>
        <c:auto val="1"/>
        <c:lblAlgn val="ctr"/>
        <c:lblOffset val="100"/>
        <c:noMultiLvlLbl val="0"/>
      </c:catAx>
      <c:spPr>
        <a:noFill/>
        <a:ln>
          <a:noFill/>
        </a:ln>
        <a:effectLst/>
      </c:spPr>
    </c:plotArea>
    <c:legend>
      <c:legendPos val="b"/>
      <c:layout>
        <c:manualLayout>
          <c:xMode val="edge"/>
          <c:yMode val="edge"/>
          <c:x val="8.2222004201492074E-2"/>
          <c:y val="0.84578667891593939"/>
          <c:w val="0.87362826570560925"/>
          <c:h val="0.1279632521819016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1191745</xdr:colOff>
      <xdr:row>41</xdr:row>
      <xdr:rowOff>115420</xdr:rowOff>
    </xdr:from>
    <xdr:to>
      <xdr:col>5</xdr:col>
      <xdr:colOff>461138</xdr:colOff>
      <xdr:row>56</xdr:row>
      <xdr:rowOff>137920</xdr:rowOff>
    </xdr:to>
    <xdr:graphicFrame macro="">
      <xdr:nvGraphicFramePr>
        <xdr:cNvPr id="2" name="Chart 1">
          <a:extLst>
            <a:ext uri="{FF2B5EF4-FFF2-40B4-BE49-F238E27FC236}">
              <a16:creationId xmlns:a16="http://schemas.microsoft.com/office/drawing/2014/main" id="{933C122D-924C-47A0-A345-4A5682983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754714</xdr:colOff>
      <xdr:row>41</xdr:row>
      <xdr:rowOff>99171</xdr:rowOff>
    </xdr:from>
    <xdr:to>
      <xdr:col>11</xdr:col>
      <xdr:colOff>0</xdr:colOff>
      <xdr:row>56</xdr:row>
      <xdr:rowOff>121671</xdr:rowOff>
    </xdr:to>
    <xdr:graphicFrame macro="">
      <xdr:nvGraphicFramePr>
        <xdr:cNvPr id="3" name="Chart 2">
          <a:extLst>
            <a:ext uri="{FF2B5EF4-FFF2-40B4-BE49-F238E27FC236}">
              <a16:creationId xmlns:a16="http://schemas.microsoft.com/office/drawing/2014/main" id="{8E290FD1-3EB3-48F6-866C-CC9B6F8FD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997321</xdr:colOff>
      <xdr:row>57</xdr:row>
      <xdr:rowOff>145676</xdr:rowOff>
    </xdr:from>
    <xdr:to>
      <xdr:col>5</xdr:col>
      <xdr:colOff>266714</xdr:colOff>
      <xdr:row>72</xdr:row>
      <xdr:rowOff>168176</xdr:rowOff>
    </xdr:to>
    <xdr:graphicFrame macro="">
      <xdr:nvGraphicFramePr>
        <xdr:cNvPr id="4" name="Chart 3">
          <a:extLst>
            <a:ext uri="{FF2B5EF4-FFF2-40B4-BE49-F238E27FC236}">
              <a16:creationId xmlns:a16="http://schemas.microsoft.com/office/drawing/2014/main" id="{FCE83B0F-D6FB-4D85-8D36-C1F54B49C9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672353</xdr:colOff>
      <xdr:row>57</xdr:row>
      <xdr:rowOff>100852</xdr:rowOff>
    </xdr:from>
    <xdr:to>
      <xdr:col>11</xdr:col>
      <xdr:colOff>0</xdr:colOff>
      <xdr:row>72</xdr:row>
      <xdr:rowOff>123352</xdr:rowOff>
    </xdr:to>
    <xdr:graphicFrame macro="">
      <xdr:nvGraphicFramePr>
        <xdr:cNvPr id="5" name="Chart 4">
          <a:extLst>
            <a:ext uri="{FF2B5EF4-FFF2-40B4-BE49-F238E27FC236}">
              <a16:creationId xmlns:a16="http://schemas.microsoft.com/office/drawing/2014/main" id="{5EB863EE-D6C7-401F-992A-AF3EA3BBD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817713</xdr:colOff>
      <xdr:row>78</xdr:row>
      <xdr:rowOff>0</xdr:rowOff>
    </xdr:from>
    <xdr:to>
      <xdr:col>11</xdr:col>
      <xdr:colOff>62999</xdr:colOff>
      <xdr:row>95</xdr:row>
      <xdr:rowOff>116815</xdr:rowOff>
    </xdr:to>
    <xdr:graphicFrame macro="">
      <xdr:nvGraphicFramePr>
        <xdr:cNvPr id="6" name="Chart 5">
          <a:extLst>
            <a:ext uri="{FF2B5EF4-FFF2-40B4-BE49-F238E27FC236}">
              <a16:creationId xmlns:a16="http://schemas.microsoft.com/office/drawing/2014/main" id="{AF804C3A-B886-4FAF-91F2-97EF418F0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BDEE-97FD-4C9F-8120-C8513982AC05}">
  <sheetPr codeName="Sheet25"/>
  <dimension ref="A1:Q50"/>
  <sheetViews>
    <sheetView zoomScale="105" workbookViewId="0">
      <selection activeCell="A18" sqref="A18"/>
    </sheetView>
  </sheetViews>
  <sheetFormatPr defaultColWidth="6.6328125" defaultRowHeight="10.5"/>
  <cols>
    <col min="1" max="1" width="58.26953125" style="1" customWidth="1"/>
    <col min="2" max="2" width="1.54296875" style="1" customWidth="1"/>
    <col min="3" max="12" width="13.1796875" style="1" customWidth="1"/>
    <col min="13" max="14" width="6.6328125" style="1"/>
    <col min="15" max="15" width="9.453125" style="1" customWidth="1"/>
    <col min="16" max="16384" width="6.6328125" style="1"/>
  </cols>
  <sheetData>
    <row r="1" spans="1:17">
      <c r="A1" s="114" t="s">
        <v>0</v>
      </c>
      <c r="B1" s="115"/>
      <c r="C1" s="115"/>
      <c r="D1" s="115"/>
      <c r="E1" s="115"/>
    </row>
    <row r="2" spans="1:17" ht="11" thickBot="1">
      <c r="Q2" s="2"/>
    </row>
    <row r="3" spans="1:17" ht="29.9" customHeight="1" thickBot="1">
      <c r="A3" s="3" t="s">
        <v>1</v>
      </c>
      <c r="C3" s="4" t="s">
        <v>2</v>
      </c>
      <c r="D3" s="4" t="s">
        <v>3</v>
      </c>
      <c r="E3" s="4" t="s">
        <v>4</v>
      </c>
      <c r="F3" s="4" t="s">
        <v>5</v>
      </c>
    </row>
    <row r="4" spans="1:17" ht="31.4" customHeight="1" thickBot="1">
      <c r="A4" s="5" t="s">
        <v>6</v>
      </c>
      <c r="C4" s="6">
        <v>4348</v>
      </c>
      <c r="D4" s="6">
        <v>4054</v>
      </c>
      <c r="E4" s="6">
        <v>3656</v>
      </c>
      <c r="F4" s="6">
        <f>(C4+D4+E4)/3</f>
        <v>4019.3333333333335</v>
      </c>
    </row>
    <row r="5" spans="1:17" ht="11" thickBot="1">
      <c r="A5" s="5" t="s">
        <v>7</v>
      </c>
      <c r="C5" s="7">
        <v>2.7710762903576658E-3</v>
      </c>
      <c r="D5" s="7">
        <v>1.6886234724438509E-2</v>
      </c>
      <c r="E5" s="7">
        <v>1.7812891786984864E-2</v>
      </c>
      <c r="F5" s="7">
        <f>SUMPRODUCT(C4:E4,C5:E5)/SUM(C4:E4)</f>
        <v>1.2077406506598566E-2</v>
      </c>
    </row>
    <row r="6" spans="1:17" ht="11" thickBot="1">
      <c r="A6" s="5" t="s">
        <v>8</v>
      </c>
      <c r="C6" s="8">
        <v>1</v>
      </c>
      <c r="D6" s="8">
        <v>1</v>
      </c>
      <c r="E6" s="8">
        <v>1</v>
      </c>
      <c r="F6" s="8">
        <f>AVERAGE(C6:E6)</f>
        <v>1</v>
      </c>
    </row>
    <row r="7" spans="1:17" ht="11" thickBot="1">
      <c r="A7" s="5" t="s">
        <v>9</v>
      </c>
      <c r="C7" s="6">
        <v>49131.663</v>
      </c>
      <c r="D7" s="6">
        <v>50592.663</v>
      </c>
      <c r="E7" s="6">
        <v>26796.286</v>
      </c>
      <c r="F7" s="6">
        <f>SUM(C7:E7)</f>
        <v>126520.61199999999</v>
      </c>
    </row>
    <row r="8" spans="1:17" ht="11" thickBot="1">
      <c r="A8" s="5" t="s">
        <v>10</v>
      </c>
      <c r="C8" s="6">
        <v>0</v>
      </c>
      <c r="D8" s="6">
        <v>0</v>
      </c>
      <c r="E8" s="6">
        <v>0</v>
      </c>
      <c r="F8" s="6">
        <f>SUM(C8:E8)</f>
        <v>0</v>
      </c>
    </row>
    <row r="9" spans="1:17" ht="11" thickBot="1">
      <c r="A9" s="5" t="s">
        <v>11</v>
      </c>
      <c r="C9" s="6">
        <v>0</v>
      </c>
      <c r="D9" s="6">
        <v>0</v>
      </c>
      <c r="E9" s="6">
        <v>0</v>
      </c>
      <c r="F9" s="6">
        <f>SUM(C9:E9)</f>
        <v>0</v>
      </c>
    </row>
    <row r="10" spans="1:17" ht="11" thickBot="1">
      <c r="A10" s="5" t="s">
        <v>12</v>
      </c>
      <c r="C10" s="6">
        <v>2645.04</v>
      </c>
      <c r="D10" s="6">
        <v>19775.2</v>
      </c>
      <c r="E10" s="6">
        <v>5.08</v>
      </c>
      <c r="F10" s="6">
        <f>SUM(C10:E10)</f>
        <v>22425.320000000003</v>
      </c>
    </row>
    <row r="11" spans="1:17" ht="11" thickBot="1">
      <c r="A11" s="5" t="s">
        <v>13</v>
      </c>
      <c r="C11" s="9">
        <v>5</v>
      </c>
      <c r="D11" s="9">
        <v>5</v>
      </c>
      <c r="E11" s="9">
        <v>5</v>
      </c>
      <c r="F11" s="9">
        <v>5</v>
      </c>
    </row>
    <row r="12" spans="1:17" ht="11" thickBot="1">
      <c r="A12" s="5" t="s">
        <v>14</v>
      </c>
      <c r="C12" s="10"/>
      <c r="D12" s="10"/>
      <c r="E12" s="10"/>
      <c r="F12" s="6">
        <f>SUM(C12:E12)</f>
        <v>0</v>
      </c>
    </row>
    <row r="13" spans="1:17" ht="11" thickBot="1">
      <c r="A13" s="5" t="s">
        <v>15</v>
      </c>
      <c r="C13" s="6">
        <v>51438.663</v>
      </c>
      <c r="D13" s="6">
        <v>68650.850000000006</v>
      </c>
      <c r="E13" s="6">
        <v>26796.286</v>
      </c>
      <c r="F13" s="6">
        <f>SUM(C13:E13)</f>
        <v>146885.799</v>
      </c>
    </row>
    <row r="14" spans="1:17" ht="11" thickBot="1">
      <c r="A14" s="5" t="s">
        <v>16</v>
      </c>
      <c r="C14" s="9">
        <v>0.5</v>
      </c>
      <c r="D14" s="9">
        <v>0.5</v>
      </c>
      <c r="E14" s="9">
        <v>0.5</v>
      </c>
      <c r="F14" s="9">
        <v>0.5</v>
      </c>
    </row>
    <row r="15" spans="1:17" ht="11" thickBot="1">
      <c r="A15" s="5" t="s">
        <v>17</v>
      </c>
      <c r="C15" s="9">
        <v>0.09</v>
      </c>
      <c r="D15" s="9">
        <v>0.09</v>
      </c>
      <c r="E15" s="9">
        <v>0.09</v>
      </c>
      <c r="F15" s="9">
        <v>0.09</v>
      </c>
    </row>
    <row r="16" spans="1:17" ht="11" thickBot="1"/>
    <row r="17" spans="1:15" ht="11" thickBot="1">
      <c r="A17" s="3" t="s">
        <v>18</v>
      </c>
      <c r="C17" s="4" t="s">
        <v>19</v>
      </c>
      <c r="D17" s="4" t="s">
        <v>20</v>
      </c>
      <c r="E17" s="4" t="s">
        <v>21</v>
      </c>
      <c r="F17" s="4" t="s">
        <v>22</v>
      </c>
      <c r="G17" s="4" t="s">
        <v>23</v>
      </c>
      <c r="H17" s="4" t="s">
        <v>24</v>
      </c>
      <c r="I17" s="4" t="s">
        <v>25</v>
      </c>
      <c r="J17" s="4" t="s">
        <v>26</v>
      </c>
      <c r="K17" s="4" t="s">
        <v>27</v>
      </c>
      <c r="L17" s="4" t="s">
        <v>28</v>
      </c>
      <c r="O17" s="4" t="s">
        <v>29</v>
      </c>
    </row>
    <row r="18" spans="1:15" ht="11" thickBot="1">
      <c r="A18" s="5" t="s">
        <v>30</v>
      </c>
      <c r="C18" s="6">
        <v>1310</v>
      </c>
      <c r="D18" s="6">
        <v>1486.0277699999999</v>
      </c>
      <c r="E18" s="6">
        <v>1744.31016</v>
      </c>
      <c r="F18" s="6">
        <v>1812.7080000000001</v>
      </c>
      <c r="G18" s="6">
        <v>2024.26424</v>
      </c>
      <c r="H18" s="6">
        <v>2091.4024099999997</v>
      </c>
      <c r="I18" s="6">
        <v>2347.5750284459996</v>
      </c>
      <c r="J18" s="6">
        <v>2423.1718374199891</v>
      </c>
      <c r="K18" s="6">
        <v>2655.6758890052065</v>
      </c>
      <c r="L18" s="6">
        <v>2730.4941943520726</v>
      </c>
      <c r="O18" s="11">
        <v>1041.88753</v>
      </c>
    </row>
    <row r="19" spans="1:15" ht="11" thickBot="1">
      <c r="A19" s="5" t="s">
        <v>31</v>
      </c>
      <c r="C19" s="6">
        <v>850</v>
      </c>
      <c r="D19" s="6">
        <v>874.14088000000004</v>
      </c>
      <c r="E19" s="6">
        <v>1042.1700600000001</v>
      </c>
      <c r="F19" s="6">
        <v>1268.7092</v>
      </c>
      <c r="G19" s="6">
        <v>1763.1923700000002</v>
      </c>
      <c r="H19" s="6">
        <v>2105.6452100000001</v>
      </c>
      <c r="I19" s="6">
        <v>2732.6083409301214</v>
      </c>
      <c r="J19" s="6">
        <v>3117.0663983729273</v>
      </c>
      <c r="K19" s="6">
        <v>3537.6177452603988</v>
      </c>
      <c r="L19" s="6">
        <v>3629.3140686424081</v>
      </c>
      <c r="O19" s="11">
        <v>743.79704000000004</v>
      </c>
    </row>
    <row r="20" spans="1:15" ht="11" thickBot="1">
      <c r="A20" s="5" t="s">
        <v>32</v>
      </c>
      <c r="C20" s="6">
        <v>330</v>
      </c>
      <c r="D20" s="6">
        <v>164</v>
      </c>
      <c r="E20" s="6">
        <v>183.352</v>
      </c>
      <c r="F20" s="6">
        <v>183.352</v>
      </c>
      <c r="G20" s="6">
        <v>205.64445000000001</v>
      </c>
      <c r="H20" s="6">
        <v>215.64444</v>
      </c>
      <c r="I20" s="6">
        <v>259.33390661775326</v>
      </c>
      <c r="J20" s="6">
        <v>302.17911258634336</v>
      </c>
      <c r="K20" s="6">
        <v>378.93848698249354</v>
      </c>
      <c r="L20" s="6">
        <v>425.33797507383417</v>
      </c>
      <c r="O20" s="11">
        <v>324.30642999999998</v>
      </c>
    </row>
    <row r="21" spans="1:15" ht="11" thickBot="1"/>
    <row r="22" spans="1:15" ht="11" thickBot="1">
      <c r="A22" s="3" t="s">
        <v>33</v>
      </c>
      <c r="C22" s="4" t="s">
        <v>19</v>
      </c>
      <c r="D22" s="4" t="s">
        <v>20</v>
      </c>
      <c r="E22" s="4" t="s">
        <v>21</v>
      </c>
      <c r="F22" s="4" t="s">
        <v>22</v>
      </c>
      <c r="G22" s="4" t="s">
        <v>23</v>
      </c>
      <c r="H22" s="4" t="s">
        <v>24</v>
      </c>
      <c r="I22" s="4" t="s">
        <v>25</v>
      </c>
      <c r="J22" s="4" t="s">
        <v>26</v>
      </c>
      <c r="K22" s="4" t="s">
        <v>27</v>
      </c>
      <c r="L22" s="4" t="s">
        <v>28</v>
      </c>
      <c r="O22" s="4" t="s">
        <v>29</v>
      </c>
    </row>
    <row r="23" spans="1:15" ht="11" thickBot="1">
      <c r="A23" s="5" t="s">
        <v>34</v>
      </c>
      <c r="C23" s="6">
        <v>1375.6865640000012</v>
      </c>
      <c r="D23" s="6">
        <v>0</v>
      </c>
      <c r="E23" s="6">
        <v>3074.5417552792405</v>
      </c>
      <c r="F23" s="6">
        <v>0</v>
      </c>
      <c r="G23" s="6">
        <v>3767.7097627819439</v>
      </c>
      <c r="H23" s="6">
        <v>0</v>
      </c>
      <c r="I23" s="6">
        <v>3947.5580530140414</v>
      </c>
      <c r="J23" s="6">
        <v>0</v>
      </c>
      <c r="K23" s="6">
        <v>4357.6942041022839</v>
      </c>
      <c r="L23" s="6">
        <v>0</v>
      </c>
      <c r="O23" s="11">
        <v>8909.5748846228562</v>
      </c>
    </row>
    <row r="24" spans="1:15" ht="11" thickBot="1">
      <c r="A24" s="5" t="s">
        <v>35</v>
      </c>
      <c r="C24" s="6">
        <v>1416.5945640000014</v>
      </c>
      <c r="D24" s="6">
        <v>0</v>
      </c>
      <c r="E24" s="6">
        <v>2708.9053239851592</v>
      </c>
      <c r="F24" s="6">
        <v>0</v>
      </c>
      <c r="G24" s="6">
        <v>4333.8855219292418</v>
      </c>
      <c r="H24" s="6">
        <v>0</v>
      </c>
      <c r="I24" s="6">
        <v>5379.7127491664714</v>
      </c>
      <c r="J24" s="6">
        <v>0</v>
      </c>
      <c r="K24" s="6">
        <v>6147.8295224925978</v>
      </c>
      <c r="L24" s="6">
        <v>0</v>
      </c>
      <c r="O24" s="11">
        <v>95041.8349028472</v>
      </c>
    </row>
    <row r="25" spans="1:15" ht="11" thickBot="1">
      <c r="A25" s="5" t="s">
        <v>36</v>
      </c>
      <c r="C25" s="6">
        <v>750.29600800000071</v>
      </c>
      <c r="D25" s="6">
        <v>0</v>
      </c>
      <c r="E25" s="6">
        <v>1281.9126562442275</v>
      </c>
      <c r="F25" s="6">
        <v>0</v>
      </c>
      <c r="G25" s="6">
        <v>1469.7627523773619</v>
      </c>
      <c r="H25" s="6">
        <v>0</v>
      </c>
      <c r="I25" s="6">
        <v>1544.1466147339838</v>
      </c>
      <c r="J25" s="6">
        <v>0</v>
      </c>
      <c r="K25" s="6">
        <v>1796.9271303533876</v>
      </c>
      <c r="L25" s="6">
        <v>0</v>
      </c>
      <c r="O25" s="11">
        <v>6360.6010985175617</v>
      </c>
    </row>
    <row r="26" spans="1:15" ht="11" thickBot="1"/>
    <row r="27" spans="1:15" ht="11" thickBot="1">
      <c r="A27" s="3" t="s">
        <v>37</v>
      </c>
      <c r="C27" s="4" t="s">
        <v>19</v>
      </c>
      <c r="D27" s="4" t="s">
        <v>20</v>
      </c>
      <c r="E27" s="4" t="s">
        <v>21</v>
      </c>
      <c r="F27" s="4" t="s">
        <v>22</v>
      </c>
      <c r="G27" s="4" t="s">
        <v>23</v>
      </c>
      <c r="H27" s="4" t="s">
        <v>24</v>
      </c>
      <c r="I27" s="4" t="s">
        <v>25</v>
      </c>
      <c r="J27" s="4" t="s">
        <v>26</v>
      </c>
      <c r="K27" s="4" t="s">
        <v>27</v>
      </c>
      <c r="L27" s="4" t="s">
        <v>28</v>
      </c>
    </row>
    <row r="28" spans="1:15" ht="11" thickBot="1">
      <c r="A28" s="5" t="s">
        <v>38</v>
      </c>
      <c r="C28" s="6">
        <f>$C$13+C23/$O39+SUM('5. Financials - drinking water'!E$28:E$30)</f>
        <v>62231.345564000003</v>
      </c>
      <c r="D28" s="6">
        <f>C28+D23/C39+SUM('5. Financials - drinking water'!F$28:F$30)</f>
        <v>71247.011564</v>
      </c>
      <c r="E28" s="6">
        <f>D28+E23/D39+SUM('5. Financials - drinking water'!G$28:G$30)</f>
        <v>81460.974518049799</v>
      </c>
      <c r="F28" s="6">
        <f>E28+F23/E39+SUM('5. Financials - drinking water'!H$28:H$30)</f>
        <v>83388.977677549803</v>
      </c>
      <c r="G28" s="6">
        <f>F28+G23/F39+SUM('5. Financials - drinking water'!I$28:I$30)</f>
        <v>90851.094550975744</v>
      </c>
      <c r="H28" s="6">
        <f>G28+H23/G39+SUM('5. Financials - drinking water'!J$28:J$30)</f>
        <v>94800.210515979707</v>
      </c>
      <c r="I28" s="6">
        <f>H28+I23/H39+SUM('5. Financials - drinking water'!K$28:K$30)</f>
        <v>103915.70540607916</v>
      </c>
      <c r="J28" s="6">
        <f>I28+J23/I39+SUM('5. Financials - drinking water'!L$28:L$30)</f>
        <v>108671.59928338524</v>
      </c>
      <c r="K28" s="6">
        <f>J28+K23/J39+SUM('5. Financials - drinking water'!M$28:M$30)</f>
        <v>118779.06078434306</v>
      </c>
      <c r="L28" s="6">
        <f>K28+L23/K39+SUM('5. Financials - drinking water'!N$28:N$30)</f>
        <v>123755.94233367745</v>
      </c>
    </row>
    <row r="29" spans="1:15" ht="11" thickBot="1">
      <c r="A29" s="5" t="s">
        <v>39</v>
      </c>
      <c r="C29" s="6">
        <f>$D$13+C24/$O40+SUM('6. Financials - wastewater'!E$28:E$30)</f>
        <v>74329.27380000001</v>
      </c>
      <c r="D29" s="6">
        <f>C29+D24/C40+SUM('6. Financials - wastewater'!F$28:F$30)</f>
        <v>78508.927800000005</v>
      </c>
      <c r="E29" s="6">
        <f>D29+E24/D40+SUM('6. Financials - wastewater'!G$28:G$30)</f>
        <v>94677.044192678411</v>
      </c>
      <c r="F29" s="6">
        <f>E29+F24/E40+SUM('6. Financials - wastewater'!H$28:H$30)</f>
        <v>109150.40969267841</v>
      </c>
      <c r="G29" s="6">
        <f>F29+G24/F40+SUM('6. Financials - wastewater'!I$28:I$30)</f>
        <v>129292.80068337024</v>
      </c>
      <c r="H29" s="6">
        <f>G29+H24/G40+SUM('6. Financials - wastewater'!J$28:J$30)</f>
        <v>139351.85451219918</v>
      </c>
      <c r="I29" s="6">
        <f>H29+I24/H40+SUM('6. Financials - wastewater'!K$28:K$30)</f>
        <v>153987.97192775141</v>
      </c>
      <c r="J29" s="6">
        <f>I29+J24/I40+SUM('6. Financials - wastewater'!L$28:L$30)</f>
        <v>162403.65279742435</v>
      </c>
      <c r="K29" s="6">
        <f>J29+K24/J40+SUM('6. Financials - wastewater'!M$28:M$30)</f>
        <v>174989.82448598067</v>
      </c>
      <c r="L29" s="6">
        <f>K29+L24/K40+SUM('6. Financials - wastewater'!N$28:N$30)</f>
        <v>181151.03786567142</v>
      </c>
    </row>
    <row r="30" spans="1:15" ht="11" thickBot="1">
      <c r="A30" s="5" t="s">
        <v>40</v>
      </c>
      <c r="C30" s="6">
        <f>$E$13+C25/$O41+SUM('7. Financials - stormwater'!E$28:E$30)</f>
        <v>27752.582008000001</v>
      </c>
      <c r="D30" s="6">
        <f>C30+D25/C41+SUM('7. Financials - stormwater'!F$28:F$30)</f>
        <v>28045.424008000002</v>
      </c>
      <c r="E30" s="6">
        <f>D30+E25/D41+SUM('7. Financials - stormwater'!G$28:G$30)</f>
        <v>29643.78949624423</v>
      </c>
      <c r="F30" s="6">
        <f>E30+F25/E41+SUM('7. Financials - stormwater'!H$28:H$30)</f>
        <v>29916.03949624423</v>
      </c>
      <c r="G30" s="6">
        <f>F30+G25/F41+SUM('7. Financials - stormwater'!I$28:I$30)</f>
        <v>32016.28899574159</v>
      </c>
      <c r="H30" s="6">
        <f>G30+H25/G41+SUM('7. Financials - stormwater'!J$28:J$30)</f>
        <v>33137.976465455336</v>
      </c>
      <c r="I30" s="6">
        <f>H30+I25/H41+SUM('7. Financials - stormwater'!K$28:K$30)</f>
        <v>36583.804431916957</v>
      </c>
      <c r="J30" s="6">
        <f>I30+J25/I41+SUM('7. Financials - stormwater'!L$28:L$30)</f>
        <v>38968.868177232071</v>
      </c>
      <c r="K30" s="6">
        <f>J30+K25/J41+SUM('7. Financials - stormwater'!M$28:M$30)</f>
        <v>42834.168596568503</v>
      </c>
      <c r="L30" s="6">
        <f>K30+L25/K41+SUM('7. Financials - stormwater'!N$28:N$30)</f>
        <v>44200.542640606705</v>
      </c>
    </row>
    <row r="31" spans="1:15" ht="11" thickBot="1">
      <c r="A31" s="12" t="s">
        <v>41</v>
      </c>
      <c r="C31" s="13">
        <f t="shared" ref="C31:L31" si="0">SUM(C28:C30)</f>
        <v>164313.20137200001</v>
      </c>
      <c r="D31" s="13">
        <f t="shared" si="0"/>
        <v>177801.36337199999</v>
      </c>
      <c r="E31" s="13">
        <f t="shared" si="0"/>
        <v>205781.80820697243</v>
      </c>
      <c r="F31" s="13">
        <f t="shared" si="0"/>
        <v>222455.42686647244</v>
      </c>
      <c r="G31" s="13">
        <f t="shared" si="0"/>
        <v>252160.18423008756</v>
      </c>
      <c r="H31" s="13">
        <f t="shared" si="0"/>
        <v>267290.04149363423</v>
      </c>
      <c r="I31" s="13">
        <f t="shared" si="0"/>
        <v>294487.48176574754</v>
      </c>
      <c r="J31" s="13">
        <f t="shared" si="0"/>
        <v>310044.12025804166</v>
      </c>
      <c r="K31" s="13">
        <f t="shared" si="0"/>
        <v>336603.05386689224</v>
      </c>
      <c r="L31" s="13">
        <f t="shared" si="0"/>
        <v>349107.52283995558</v>
      </c>
    </row>
    <row r="32" spans="1:15" ht="11" thickBot="1"/>
    <row r="33" spans="1:15" ht="11" thickBot="1">
      <c r="A33" s="3" t="s">
        <v>42</v>
      </c>
      <c r="C33" s="4" t="s">
        <v>19</v>
      </c>
      <c r="D33" s="4" t="s">
        <v>20</v>
      </c>
      <c r="E33" s="4" t="s">
        <v>21</v>
      </c>
      <c r="F33" s="4" t="s">
        <v>22</v>
      </c>
      <c r="G33" s="4" t="s">
        <v>23</v>
      </c>
      <c r="H33" s="4" t="s">
        <v>24</v>
      </c>
      <c r="I33" s="4" t="s">
        <v>25</v>
      </c>
      <c r="J33" s="4" t="s">
        <v>26</v>
      </c>
      <c r="K33" s="4" t="s">
        <v>27</v>
      </c>
      <c r="L33" s="4" t="s">
        <v>28</v>
      </c>
    </row>
    <row r="34" spans="1:15" ht="11" thickBot="1">
      <c r="A34" s="5" t="s">
        <v>43</v>
      </c>
      <c r="C34" s="6">
        <f>'5. Financials - drinking water'!E$82</f>
        <v>58549.749564000005</v>
      </c>
      <c r="D34" s="6">
        <f>'5. Financials - drinking water'!F$82</f>
        <v>66079.387794000009</v>
      </c>
      <c r="E34" s="6">
        <f>'5. Financials - drinking water'!G$82</f>
        <v>74308.60138927924</v>
      </c>
      <c r="F34" s="6">
        <f>'5. Financials - drinking water'!H$82</f>
        <v>74423.896548779245</v>
      </c>
      <c r="G34" s="6">
        <f>'5. Financials - drinking water'!I$82</f>
        <v>79407.891950061181</v>
      </c>
      <c r="H34" s="6">
        <f>'5. Financials - drinking water'!J$82</f>
        <v>81265.605505065148</v>
      </c>
      <c r="I34" s="6">
        <f>'5. Financials - drinking water'!K$82</f>
        <v>87376.068393708425</v>
      </c>
      <c r="J34" s="6">
        <f>'5. Financials - drinking water'!L$82</f>
        <v>89708.79043359452</v>
      </c>
      <c r="K34" s="6">
        <f>'5. Financials - drinking water'!M$82</f>
        <v>96239.438642859721</v>
      </c>
      <c r="L34" s="6">
        <f>'5. Financials - drinking water'!N$82</f>
        <v>98485.825997842039</v>
      </c>
    </row>
    <row r="35" spans="1:15" ht="11" thickBot="1">
      <c r="A35" s="5" t="s">
        <v>44</v>
      </c>
      <c r="C35" s="6">
        <f>'6. Financials - wastewater'!E$82</f>
        <v>54915.457563999997</v>
      </c>
      <c r="D35" s="6">
        <f>'6. Financials - wastewater'!F$82</f>
        <v>58220.970684</v>
      </c>
      <c r="E35" s="6">
        <f>'6. Financials - wastewater'!G$82</f>
        <v>72402.958947985171</v>
      </c>
      <c r="F35" s="6">
        <f>'6. Financials - wastewater'!H$82</f>
        <v>85607.615247985173</v>
      </c>
      <c r="G35" s="6">
        <f>'6. Financials - wastewater'!I$82</f>
        <v>102794.95989991442</v>
      </c>
      <c r="H35" s="6">
        <f>'6. Financials - wastewater'!J$82</f>
        <v>110748.36851874337</v>
      </c>
      <c r="I35" s="6">
        <f>'6. Financials - wastewater'!K$82</f>
        <v>121262.43465774738</v>
      </c>
      <c r="J35" s="6">
        <f>'6. Financials - wastewater'!L$82</f>
        <v>126561.04912904737</v>
      </c>
      <c r="K35" s="6">
        <f>'6. Financials - wastewater'!M$82</f>
        <v>133868.51275654824</v>
      </c>
      <c r="L35" s="6">
        <f>'6. Financials - wastewater'!N$82</f>
        <v>136400.4120675966</v>
      </c>
    </row>
    <row r="36" spans="1:15" ht="11" thickBot="1">
      <c r="A36" s="5" t="s">
        <v>45</v>
      </c>
      <c r="C36" s="6">
        <f>'7. Financials - stormwater'!E$82</f>
        <v>27422.582008000001</v>
      </c>
      <c r="D36" s="6">
        <f>'7. Financials - stormwater'!F$82</f>
        <v>27551.424008000002</v>
      </c>
      <c r="E36" s="6">
        <f>'7. Financials - stormwater'!G$82</f>
        <v>28943.452664244232</v>
      </c>
      <c r="F36" s="6">
        <f>'7. Financials - stormwater'!H$82</f>
        <v>29032.350664244233</v>
      </c>
      <c r="G36" s="6">
        <f>'7. Financials - stormwater'!I$82</f>
        <v>30882.218966621596</v>
      </c>
      <c r="H36" s="6">
        <f>'7. Financials - stormwater'!J$82</f>
        <v>31788.261996335339</v>
      </c>
      <c r="I36" s="6">
        <f>'7. Financials - stormwater'!K$82</f>
        <v>34909.192326127231</v>
      </c>
      <c r="J36" s="6">
        <f>'7. Financials - stormwater'!L$82</f>
        <v>36992.076958856</v>
      </c>
      <c r="K36" s="6">
        <f>'7. Financials - stormwater'!M$82</f>
        <v>40382.414280986108</v>
      </c>
      <c r="L36" s="6">
        <f>'7. Financials - stormwater'!N$82</f>
        <v>41323.450349950479</v>
      </c>
    </row>
    <row r="37" spans="1:15" ht="11" thickBot="1">
      <c r="A37" s="12" t="s">
        <v>41</v>
      </c>
      <c r="C37" s="13">
        <f t="shared" ref="C37:L37" si="1">SUM(C34:C36)</f>
        <v>140887.78913600001</v>
      </c>
      <c r="D37" s="13">
        <f t="shared" si="1"/>
        <v>151851.78248600001</v>
      </c>
      <c r="E37" s="13">
        <f t="shared" si="1"/>
        <v>175655.01300150863</v>
      </c>
      <c r="F37" s="13">
        <f t="shared" si="1"/>
        <v>189063.86246100866</v>
      </c>
      <c r="G37" s="13">
        <f t="shared" si="1"/>
        <v>213085.07081659717</v>
      </c>
      <c r="H37" s="13">
        <f t="shared" si="1"/>
        <v>223802.23602014387</v>
      </c>
      <c r="I37" s="13">
        <f t="shared" si="1"/>
        <v>243547.69537758303</v>
      </c>
      <c r="J37" s="13">
        <f t="shared" si="1"/>
        <v>253261.91652149789</v>
      </c>
      <c r="K37" s="13">
        <f t="shared" si="1"/>
        <v>270490.36568039405</v>
      </c>
      <c r="L37" s="13">
        <f t="shared" si="1"/>
        <v>276209.6884153891</v>
      </c>
    </row>
    <row r="38" spans="1:15" ht="11" thickBot="1">
      <c r="O38" s="4" t="s">
        <v>29</v>
      </c>
    </row>
    <row r="39" spans="1:15" ht="11" thickBot="1">
      <c r="A39" s="5" t="s">
        <v>46</v>
      </c>
      <c r="C39" s="8">
        <f>C34/C28</f>
        <v>0.94084016717565955</v>
      </c>
      <c r="D39" s="8">
        <f>D34/D28</f>
        <v>0.92746890491879785</v>
      </c>
      <c r="E39" s="8">
        <f t="shared" ref="E39:L39" si="2">E34/E28</f>
        <v>0.91219877774497082</v>
      </c>
      <c r="F39" s="8">
        <f t="shared" si="2"/>
        <v>0.89249081379271833</v>
      </c>
      <c r="G39" s="8">
        <f t="shared" si="2"/>
        <v>0.87404441677371447</v>
      </c>
      <c r="H39" s="8">
        <f t="shared" si="2"/>
        <v>0.85723022198739596</v>
      </c>
      <c r="I39" s="8">
        <f t="shared" si="2"/>
        <v>0.84083602235352628</v>
      </c>
      <c r="J39" s="8">
        <f t="shared" si="2"/>
        <v>0.82550354485590116</v>
      </c>
      <c r="K39" s="8">
        <f t="shared" si="2"/>
        <v>0.81023909439386288</v>
      </c>
      <c r="L39" s="8">
        <f t="shared" si="2"/>
        <v>0.79580684483254338</v>
      </c>
      <c r="O39" s="8">
        <f>($C$7-$C$8)/$C$13</f>
        <v>0.95515046726622732</v>
      </c>
    </row>
    <row r="40" spans="1:15" ht="11" thickBot="1">
      <c r="A40" s="5" t="s">
        <v>47</v>
      </c>
      <c r="C40" s="8">
        <f t="shared" ref="C40:L41" si="3">C35/C29</f>
        <v>0.73881332019686685</v>
      </c>
      <c r="D40" s="8">
        <f t="shared" si="3"/>
        <v>0.74158407604695364</v>
      </c>
      <c r="E40" s="8">
        <f t="shared" si="3"/>
        <v>0.7647361571685426</v>
      </c>
      <c r="F40" s="8">
        <f t="shared" si="3"/>
        <v>0.7843086937467314</v>
      </c>
      <c r="G40" s="8">
        <f t="shared" si="3"/>
        <v>0.79505555882923962</v>
      </c>
      <c r="H40" s="8">
        <f t="shared" si="3"/>
        <v>0.79473910775294498</v>
      </c>
      <c r="I40" s="8">
        <f t="shared" si="3"/>
        <v>0.78747991248720184</v>
      </c>
      <c r="J40" s="8">
        <f t="shared" si="3"/>
        <v>0.7792992765188258</v>
      </c>
      <c r="K40" s="8">
        <f t="shared" si="3"/>
        <v>0.76500741200110822</v>
      </c>
      <c r="L40" s="8">
        <f t="shared" si="3"/>
        <v>0.75296511504803709</v>
      </c>
      <c r="O40" s="8">
        <f>($D$7-$D$8)/$D$13</f>
        <v>0.73695610469498918</v>
      </c>
    </row>
    <row r="41" spans="1:15" ht="11" thickBot="1">
      <c r="A41" s="5" t="s">
        <v>48</v>
      </c>
      <c r="C41" s="8">
        <f t="shared" si="3"/>
        <v>0.9881092144902095</v>
      </c>
      <c r="D41" s="8">
        <f t="shared" si="3"/>
        <v>0.98238571825981003</v>
      </c>
      <c r="E41" s="8">
        <f t="shared" si="3"/>
        <v>0.97637492223830802</v>
      </c>
      <c r="F41" s="8">
        <f t="shared" si="3"/>
        <v>0.97046103538835959</v>
      </c>
      <c r="G41" s="8">
        <f t="shared" si="3"/>
        <v>0.96457834231597439</v>
      </c>
      <c r="H41" s="8">
        <f t="shared" si="3"/>
        <v>0.9592698585404873</v>
      </c>
      <c r="I41" s="8">
        <f t="shared" si="3"/>
        <v>0.95422531549701983</v>
      </c>
      <c r="J41" s="8">
        <f t="shared" si="3"/>
        <v>0.94927255240297104</v>
      </c>
      <c r="K41" s="8">
        <f t="shared" si="3"/>
        <v>0.94276171580043677</v>
      </c>
      <c r="L41" s="8">
        <f t="shared" si="3"/>
        <v>0.93490821336629781</v>
      </c>
      <c r="O41" s="8">
        <f>($E$7-$E$8)/$E$13</f>
        <v>1</v>
      </c>
    </row>
    <row r="43" spans="1:15" ht="11" thickBot="1"/>
    <row r="44" spans="1:15" ht="11" thickBot="1">
      <c r="A44" s="3" t="s">
        <v>49</v>
      </c>
      <c r="C44" s="4" t="s">
        <v>19</v>
      </c>
      <c r="D44" s="4" t="s">
        <v>20</v>
      </c>
      <c r="E44" s="4" t="s">
        <v>21</v>
      </c>
      <c r="F44" s="4" t="s">
        <v>22</v>
      </c>
      <c r="G44" s="4" t="s">
        <v>23</v>
      </c>
      <c r="H44" s="4" t="s">
        <v>24</v>
      </c>
      <c r="I44" s="4" t="s">
        <v>25</v>
      </c>
      <c r="J44" s="4" t="s">
        <v>26</v>
      </c>
      <c r="K44" s="4" t="s">
        <v>27</v>
      </c>
      <c r="L44" s="4" t="s">
        <v>28</v>
      </c>
    </row>
    <row r="45" spans="1:15" ht="11" thickBot="1">
      <c r="A45" s="5" t="s">
        <v>50</v>
      </c>
      <c r="C45" s="6">
        <v>4083</v>
      </c>
      <c r="D45" s="6">
        <v>4128</v>
      </c>
      <c r="E45" s="6">
        <v>4169</v>
      </c>
      <c r="F45" s="6">
        <v>4211</v>
      </c>
      <c r="G45" s="6">
        <v>4253</v>
      </c>
      <c r="H45" s="6">
        <v>4296</v>
      </c>
      <c r="I45" s="6">
        <v>4338</v>
      </c>
      <c r="J45" s="6">
        <v>4382</v>
      </c>
      <c r="K45" s="6">
        <v>4426</v>
      </c>
      <c r="L45" s="6">
        <v>4470</v>
      </c>
    </row>
    <row r="46" spans="1:15" ht="11" thickBot="1">
      <c r="A46" s="5" t="s">
        <v>51</v>
      </c>
      <c r="C46" s="6">
        <v>4378</v>
      </c>
      <c r="D46" s="6">
        <v>4426</v>
      </c>
      <c r="E46" s="6">
        <v>4470</v>
      </c>
      <c r="F46" s="6">
        <v>4515</v>
      </c>
      <c r="G46" s="6">
        <v>4560</v>
      </c>
      <c r="H46" s="6">
        <v>4606</v>
      </c>
      <c r="I46" s="6">
        <v>4652</v>
      </c>
      <c r="J46" s="6">
        <v>4698</v>
      </c>
      <c r="K46" s="6">
        <v>4745</v>
      </c>
      <c r="L46" s="6">
        <v>4793</v>
      </c>
    </row>
    <row r="47" spans="1:15" ht="11" thickBot="1">
      <c r="A47" s="5" t="s">
        <v>52</v>
      </c>
      <c r="C47" s="6">
        <v>3984</v>
      </c>
      <c r="D47" s="6">
        <v>4028</v>
      </c>
      <c r="E47" s="6">
        <v>4068</v>
      </c>
      <c r="F47" s="6">
        <v>4109</v>
      </c>
      <c r="G47" s="6">
        <v>4150</v>
      </c>
      <c r="H47" s="6">
        <v>4191</v>
      </c>
      <c r="I47" s="6">
        <v>4233</v>
      </c>
      <c r="J47" s="6">
        <v>4276</v>
      </c>
      <c r="K47" s="6">
        <v>4318</v>
      </c>
      <c r="L47" s="6">
        <v>4362</v>
      </c>
    </row>
    <row r="48" spans="1:15" ht="11" thickBot="1"/>
    <row r="49" spans="1:15" ht="11" thickBot="1">
      <c r="A49" s="3" t="s">
        <v>53</v>
      </c>
      <c r="C49" s="4" t="s">
        <v>19</v>
      </c>
      <c r="D49" s="4" t="s">
        <v>20</v>
      </c>
      <c r="E49" s="4" t="s">
        <v>21</v>
      </c>
      <c r="F49" s="4" t="s">
        <v>22</v>
      </c>
      <c r="G49" s="4" t="s">
        <v>23</v>
      </c>
      <c r="H49" s="4" t="s">
        <v>24</v>
      </c>
      <c r="I49" s="4" t="s">
        <v>25</v>
      </c>
      <c r="J49" s="4" t="s">
        <v>26</v>
      </c>
      <c r="K49" s="4" t="s">
        <v>27</v>
      </c>
      <c r="L49" s="4" t="s">
        <v>28</v>
      </c>
      <c r="O49" s="4" t="s">
        <v>29</v>
      </c>
    </row>
    <row r="50" spans="1:15" ht="11" thickBot="1">
      <c r="A50" s="5" t="s">
        <v>54</v>
      </c>
      <c r="C50" s="6">
        <v>102233.04000000001</v>
      </c>
      <c r="D50" s="6">
        <v>105606.73032</v>
      </c>
      <c r="E50" s="6">
        <v>109302.9658812</v>
      </c>
      <c r="F50" s="6">
        <v>113128.56968704199</v>
      </c>
      <c r="G50" s="6">
        <v>117088.06962608846</v>
      </c>
      <c r="H50" s="6">
        <v>121069.06399337547</v>
      </c>
      <c r="I50" s="6">
        <v>125185.41216915024</v>
      </c>
      <c r="J50" s="6">
        <v>129441.71618290135</v>
      </c>
      <c r="K50" s="6">
        <v>133842.73453312</v>
      </c>
      <c r="L50" s="6">
        <v>138393.38750724608</v>
      </c>
      <c r="O50" s="6">
        <v>98301</v>
      </c>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A7C5-7787-4E05-ABAA-1EDA24DB6278}">
  <sheetPr codeName="Sheet24">
    <pageSetUpPr fitToPage="1"/>
  </sheetPr>
  <dimension ref="A1:L127"/>
  <sheetViews>
    <sheetView workbookViewId="0">
      <selection activeCell="A18" sqref="A18"/>
    </sheetView>
  </sheetViews>
  <sheetFormatPr defaultColWidth="0" defaultRowHeight="14.5" zeroHeight="1"/>
  <cols>
    <col min="1" max="1" width="1.453125" style="18" customWidth="1"/>
    <col min="2" max="2" width="3.7265625" style="18" customWidth="1"/>
    <col min="3" max="3" width="102.54296875" style="18" customWidth="1"/>
    <col min="4" max="4" width="1.453125" style="18" customWidth="1"/>
    <col min="5" max="16384" width="8" style="18" hidden="1"/>
  </cols>
  <sheetData>
    <row r="1" spans="1:4" ht="26.5" thickBot="1">
      <c r="A1" s="14"/>
      <c r="B1" s="15" t="s">
        <v>55</v>
      </c>
      <c r="C1" s="16"/>
      <c r="D1" s="17"/>
    </row>
    <row r="2" spans="1:4" ht="10.4" customHeight="1" thickTop="1" thickBot="1">
      <c r="A2" s="19"/>
      <c r="B2" s="20"/>
      <c r="C2" s="21"/>
      <c r="D2" s="22"/>
    </row>
    <row r="3" spans="1:4" ht="15" thickTop="1">
      <c r="A3" s="19"/>
      <c r="B3" s="23" t="s">
        <v>56</v>
      </c>
      <c r="C3" s="24"/>
      <c r="D3" s="22"/>
    </row>
    <row r="4" spans="1:4" ht="30.75" customHeight="1">
      <c r="A4" s="19"/>
      <c r="B4" s="116" t="s">
        <v>57</v>
      </c>
      <c r="C4" s="117"/>
      <c r="D4" s="22"/>
    </row>
    <row r="5" spans="1:4" ht="5.25" customHeight="1">
      <c r="A5" s="19"/>
      <c r="B5" s="25"/>
      <c r="C5" s="26"/>
      <c r="D5" s="22"/>
    </row>
    <row r="6" spans="1:4">
      <c r="A6" s="19"/>
      <c r="B6" s="27" t="s">
        <v>58</v>
      </c>
      <c r="C6" s="28"/>
      <c r="D6" s="22"/>
    </row>
    <row r="7" spans="1:4" ht="5.25" customHeight="1">
      <c r="A7" s="19"/>
      <c r="B7" s="25"/>
      <c r="C7" s="26"/>
      <c r="D7" s="22"/>
    </row>
    <row r="8" spans="1:4" ht="67.5" customHeight="1">
      <c r="A8" s="19"/>
      <c r="B8" s="29" t="s">
        <v>59</v>
      </c>
      <c r="C8" s="30" t="s">
        <v>60</v>
      </c>
      <c r="D8" s="22"/>
    </row>
    <row r="9" spans="1:4" ht="5.25" customHeight="1">
      <c r="A9" s="19"/>
      <c r="B9" s="25"/>
      <c r="C9" s="26"/>
      <c r="D9" s="22"/>
    </row>
    <row r="10" spans="1:4" ht="30.75" customHeight="1">
      <c r="A10" s="19"/>
      <c r="B10" s="116" t="s">
        <v>61</v>
      </c>
      <c r="C10" s="117"/>
      <c r="D10" s="22"/>
    </row>
    <row r="11" spans="1:4" ht="5.25" customHeight="1">
      <c r="A11" s="19"/>
      <c r="B11" s="25"/>
      <c r="C11" s="26"/>
      <c r="D11" s="22"/>
    </row>
    <row r="12" spans="1:4" ht="78" customHeight="1">
      <c r="A12" s="19"/>
      <c r="B12" s="29" t="s">
        <v>59</v>
      </c>
      <c r="C12" s="30" t="s">
        <v>62</v>
      </c>
      <c r="D12" s="22"/>
    </row>
    <row r="13" spans="1:4" ht="5.25" customHeight="1">
      <c r="A13" s="19"/>
      <c r="B13" s="25"/>
      <c r="C13" s="26"/>
      <c r="D13" s="22"/>
    </row>
    <row r="14" spans="1:4">
      <c r="A14" s="19"/>
      <c r="B14" s="27" t="s">
        <v>63</v>
      </c>
      <c r="C14" s="28"/>
      <c r="D14" s="22"/>
    </row>
    <row r="15" spans="1:4" ht="5.25" customHeight="1">
      <c r="A15" s="19"/>
      <c r="B15" s="25"/>
      <c r="C15" s="26"/>
      <c r="D15" s="22"/>
    </row>
    <row r="16" spans="1:4" ht="205.5" customHeight="1">
      <c r="A16" s="19"/>
      <c r="B16" s="29" t="s">
        <v>64</v>
      </c>
      <c r="C16" s="30" t="s">
        <v>65</v>
      </c>
      <c r="D16" s="22"/>
    </row>
    <row r="17" spans="1:4">
      <c r="A17" s="19"/>
      <c r="B17" s="29"/>
      <c r="C17" s="30"/>
      <c r="D17" s="22"/>
    </row>
    <row r="18" spans="1:4">
      <c r="A18" s="19"/>
      <c r="B18" s="31" t="s">
        <v>66</v>
      </c>
      <c r="C18" s="32"/>
      <c r="D18" s="22"/>
    </row>
    <row r="19" spans="1:4" ht="30.75" customHeight="1">
      <c r="A19" s="19"/>
      <c r="B19" s="116" t="s">
        <v>67</v>
      </c>
      <c r="C19" s="117"/>
      <c r="D19" s="22"/>
    </row>
    <row r="20" spans="1:4" ht="5.25" customHeight="1">
      <c r="A20" s="19"/>
      <c r="B20" s="25"/>
      <c r="C20" s="26"/>
      <c r="D20" s="22"/>
    </row>
    <row r="21" spans="1:4" ht="30" customHeight="1">
      <c r="A21" s="19"/>
      <c r="B21" s="116" t="s">
        <v>68</v>
      </c>
      <c r="C21" s="117"/>
      <c r="D21" s="22"/>
    </row>
    <row r="22" spans="1:4" ht="5.25" customHeight="1">
      <c r="A22" s="19"/>
      <c r="B22" s="25"/>
      <c r="C22" s="26"/>
      <c r="D22" s="22"/>
    </row>
    <row r="23" spans="1:4">
      <c r="A23" s="19"/>
      <c r="B23" s="27" t="s">
        <v>69</v>
      </c>
      <c r="C23" s="28"/>
      <c r="D23" s="22"/>
    </row>
    <row r="24" spans="1:4" ht="5.25" customHeight="1">
      <c r="A24" s="19"/>
      <c r="B24" s="25"/>
      <c r="C24" s="26"/>
      <c r="D24" s="22"/>
    </row>
    <row r="25" spans="1:4" ht="48" customHeight="1">
      <c r="A25" s="19"/>
      <c r="B25" s="29" t="s">
        <v>70</v>
      </c>
      <c r="C25" s="30" t="s">
        <v>71</v>
      </c>
      <c r="D25" s="22"/>
    </row>
    <row r="26" spans="1:4" ht="31.5" customHeight="1">
      <c r="A26" s="19"/>
      <c r="B26" s="116" t="s">
        <v>72</v>
      </c>
      <c r="C26" s="117"/>
      <c r="D26" s="22"/>
    </row>
    <row r="27" spans="1:4" ht="5.25" customHeight="1">
      <c r="A27" s="19"/>
      <c r="B27" s="25"/>
      <c r="C27" s="26"/>
      <c r="D27" s="22"/>
    </row>
    <row r="28" spans="1:4" ht="45.75" customHeight="1">
      <c r="A28" s="19"/>
      <c r="B28" s="116" t="s">
        <v>73</v>
      </c>
      <c r="C28" s="117"/>
      <c r="D28" s="22"/>
    </row>
    <row r="29" spans="1:4" ht="5.25" customHeight="1">
      <c r="A29" s="19"/>
      <c r="B29" s="25"/>
      <c r="C29" s="26"/>
      <c r="D29" s="22"/>
    </row>
    <row r="30" spans="1:4">
      <c r="A30" s="19"/>
      <c r="B30" s="27" t="s">
        <v>74</v>
      </c>
      <c r="C30" s="28"/>
      <c r="D30" s="22"/>
    </row>
    <row r="31" spans="1:4" ht="48" customHeight="1">
      <c r="A31" s="19"/>
      <c r="B31" s="29" t="s">
        <v>75</v>
      </c>
      <c r="C31" s="30" t="s">
        <v>76</v>
      </c>
      <c r="D31" s="22"/>
    </row>
    <row r="32" spans="1:4" ht="5.25" customHeight="1">
      <c r="A32" s="19"/>
      <c r="B32" s="25"/>
      <c r="C32" s="26"/>
      <c r="D32" s="22"/>
    </row>
    <row r="33" spans="1:12">
      <c r="A33" s="19"/>
      <c r="B33" s="27" t="s">
        <v>77</v>
      </c>
      <c r="C33" s="28"/>
      <c r="D33" s="22"/>
      <c r="L33" s="18">
        <v>1</v>
      </c>
    </row>
    <row r="34" spans="1:12" ht="46.5" customHeight="1">
      <c r="A34" s="19"/>
      <c r="B34" s="29" t="s">
        <v>70</v>
      </c>
      <c r="C34" s="30" t="s">
        <v>78</v>
      </c>
      <c r="D34" s="22"/>
    </row>
    <row r="35" spans="1:12" ht="5.25" customHeight="1">
      <c r="A35" s="19"/>
      <c r="B35" s="25"/>
      <c r="C35" s="26"/>
      <c r="D35" s="22"/>
    </row>
    <row r="36" spans="1:12">
      <c r="A36" s="19"/>
      <c r="B36" s="27" t="s">
        <v>79</v>
      </c>
      <c r="C36" s="28"/>
      <c r="D36" s="22"/>
    </row>
    <row r="37" spans="1:12" ht="61.5" customHeight="1">
      <c r="A37" s="19"/>
      <c r="B37" s="29" t="s">
        <v>59</v>
      </c>
      <c r="C37" s="30" t="s">
        <v>80</v>
      </c>
      <c r="D37" s="22"/>
    </row>
    <row r="38" spans="1:12">
      <c r="A38" s="19"/>
      <c r="B38" s="29"/>
      <c r="C38" s="30"/>
      <c r="D38" s="22"/>
    </row>
    <row r="39" spans="1:12">
      <c r="A39" s="19"/>
      <c r="B39" s="31" t="s">
        <v>81</v>
      </c>
      <c r="C39" s="32"/>
      <c r="D39" s="22"/>
    </row>
    <row r="40" spans="1:12" ht="36.75" customHeight="1">
      <c r="A40" s="19"/>
      <c r="B40" s="116" t="s">
        <v>82</v>
      </c>
      <c r="C40" s="117"/>
      <c r="D40" s="22"/>
    </row>
    <row r="41" spans="1:12">
      <c r="A41" s="19"/>
      <c r="B41" s="29"/>
      <c r="C41" s="30"/>
      <c r="D41" s="22"/>
    </row>
    <row r="42" spans="1:12">
      <c r="A42" s="19"/>
      <c r="B42" s="118" t="s">
        <v>83</v>
      </c>
      <c r="C42" s="119"/>
      <c r="D42" s="22"/>
    </row>
    <row r="43" spans="1:12">
      <c r="A43" s="19"/>
      <c r="B43" s="27" t="s">
        <v>84</v>
      </c>
      <c r="C43" s="28"/>
      <c r="D43" s="22"/>
    </row>
    <row r="44" spans="1:12" ht="33.75" customHeight="1">
      <c r="A44" s="19"/>
      <c r="B44" s="29" t="s">
        <v>85</v>
      </c>
      <c r="C44" s="30" t="s">
        <v>86</v>
      </c>
      <c r="D44" s="22"/>
    </row>
    <row r="45" spans="1:12" ht="43.5">
      <c r="A45" s="19"/>
      <c r="B45" s="29" t="s">
        <v>85</v>
      </c>
      <c r="C45" s="30" t="s">
        <v>87</v>
      </c>
      <c r="D45" s="22"/>
    </row>
    <row r="46" spans="1:12" ht="32.25" customHeight="1">
      <c r="A46" s="19"/>
      <c r="B46" s="29" t="s">
        <v>85</v>
      </c>
      <c r="C46" s="30" t="s">
        <v>88</v>
      </c>
      <c r="D46" s="22"/>
    </row>
    <row r="47" spans="1:12" ht="32.25" customHeight="1">
      <c r="A47" s="19"/>
      <c r="B47" s="29" t="s">
        <v>85</v>
      </c>
      <c r="C47" s="30" t="s">
        <v>89</v>
      </c>
      <c r="D47" s="22"/>
    </row>
    <row r="48" spans="1:12">
      <c r="A48" s="19"/>
      <c r="B48" s="29"/>
      <c r="C48" s="30"/>
      <c r="D48" s="22"/>
    </row>
    <row r="49" spans="1:4" ht="33.75" customHeight="1">
      <c r="A49" s="19"/>
      <c r="B49" s="33"/>
      <c r="C49" s="34" t="s">
        <v>90</v>
      </c>
      <c r="D49" s="22"/>
    </row>
    <row r="50" spans="1:4" ht="16.5" customHeight="1">
      <c r="A50" s="19"/>
      <c r="B50" s="35" t="s">
        <v>91</v>
      </c>
      <c r="C50" s="30"/>
      <c r="D50" s="22"/>
    </row>
    <row r="51" spans="1:4" ht="5.25" customHeight="1">
      <c r="A51" s="19"/>
      <c r="B51" s="25"/>
      <c r="C51" s="26"/>
      <c r="D51" s="22"/>
    </row>
    <row r="52" spans="1:4" ht="29">
      <c r="A52" s="19"/>
      <c r="B52" s="29" t="s">
        <v>85</v>
      </c>
      <c r="C52" s="30" t="s">
        <v>92</v>
      </c>
      <c r="D52" s="22"/>
    </row>
    <row r="53" spans="1:4" ht="5.25" customHeight="1">
      <c r="A53" s="19"/>
      <c r="B53" s="25"/>
      <c r="C53" s="26"/>
      <c r="D53" s="22"/>
    </row>
    <row r="54" spans="1:4" ht="29">
      <c r="A54" s="19"/>
      <c r="B54" s="29" t="s">
        <v>85</v>
      </c>
      <c r="C54" s="30" t="s">
        <v>93</v>
      </c>
      <c r="D54" s="22"/>
    </row>
    <row r="55" spans="1:4" ht="5.25" customHeight="1">
      <c r="A55" s="19"/>
      <c r="B55" s="25"/>
      <c r="C55" s="26"/>
      <c r="D55" s="22"/>
    </row>
    <row r="56" spans="1:4" ht="48" customHeight="1">
      <c r="A56" s="19"/>
      <c r="B56" s="29" t="s">
        <v>85</v>
      </c>
      <c r="C56" s="30" t="s">
        <v>94</v>
      </c>
      <c r="D56" s="22"/>
    </row>
    <row r="57" spans="1:4" ht="5.25" customHeight="1">
      <c r="A57" s="19"/>
      <c r="B57" s="25"/>
      <c r="C57" s="26"/>
      <c r="D57" s="22"/>
    </row>
    <row r="58" spans="1:4" ht="29">
      <c r="A58" s="19"/>
      <c r="B58" s="29" t="s">
        <v>85</v>
      </c>
      <c r="C58" s="30" t="s">
        <v>95</v>
      </c>
      <c r="D58" s="22"/>
    </row>
    <row r="59" spans="1:4" ht="5.25" customHeight="1">
      <c r="A59" s="19"/>
      <c r="B59" s="25"/>
      <c r="C59" s="26"/>
      <c r="D59" s="22"/>
    </row>
    <row r="60" spans="1:4" ht="14.25" customHeight="1">
      <c r="A60" s="19"/>
      <c r="B60" s="35" t="s">
        <v>96</v>
      </c>
      <c r="C60" s="30"/>
      <c r="D60" s="22"/>
    </row>
    <row r="61" spans="1:4" ht="5.25" customHeight="1">
      <c r="A61" s="19"/>
      <c r="B61" s="25"/>
      <c r="C61" s="26"/>
      <c r="D61" s="22"/>
    </row>
    <row r="62" spans="1:4" ht="43.5">
      <c r="A62" s="19"/>
      <c r="B62" s="29" t="s">
        <v>85</v>
      </c>
      <c r="C62" s="30" t="s">
        <v>97</v>
      </c>
      <c r="D62" s="22"/>
    </row>
    <row r="63" spans="1:4" ht="5.25" customHeight="1">
      <c r="A63" s="19"/>
      <c r="B63" s="25"/>
      <c r="C63" s="26"/>
      <c r="D63" s="22"/>
    </row>
    <row r="64" spans="1:4" ht="20.25" customHeight="1">
      <c r="A64" s="19"/>
      <c r="B64" s="29" t="s">
        <v>85</v>
      </c>
      <c r="C64" s="26" t="s">
        <v>98</v>
      </c>
      <c r="D64" s="22"/>
    </row>
    <row r="65" spans="1:4" ht="5.25" customHeight="1">
      <c r="A65" s="19"/>
      <c r="B65" s="25"/>
      <c r="C65" s="26"/>
      <c r="D65" s="22"/>
    </row>
    <row r="66" spans="1:4" ht="43.5">
      <c r="A66" s="19"/>
      <c r="B66" s="29" t="s">
        <v>85</v>
      </c>
      <c r="C66" s="26" t="s">
        <v>99</v>
      </c>
      <c r="D66" s="22"/>
    </row>
    <row r="67" spans="1:4" ht="5.25" customHeight="1">
      <c r="A67" s="19"/>
      <c r="B67" s="25"/>
      <c r="C67" s="26"/>
      <c r="D67" s="22"/>
    </row>
    <row r="68" spans="1:4" ht="17.25" customHeight="1">
      <c r="A68" s="19"/>
      <c r="B68" s="35" t="s">
        <v>100</v>
      </c>
      <c r="C68" s="30"/>
      <c r="D68" s="22"/>
    </row>
    <row r="69" spans="1:4" ht="5.25" customHeight="1">
      <c r="A69" s="19"/>
      <c r="B69" s="25"/>
      <c r="C69" s="26"/>
      <c r="D69" s="22"/>
    </row>
    <row r="70" spans="1:4" ht="15.75" customHeight="1">
      <c r="A70" s="19"/>
      <c r="B70" s="29" t="s">
        <v>85</v>
      </c>
      <c r="C70" s="30" t="s">
        <v>101</v>
      </c>
      <c r="D70" s="22"/>
    </row>
    <row r="71" spans="1:4" ht="5.25" customHeight="1">
      <c r="A71" s="19"/>
      <c r="B71" s="25"/>
      <c r="C71" s="26"/>
      <c r="D71" s="22"/>
    </row>
    <row r="72" spans="1:4" ht="74.25" customHeight="1">
      <c r="A72" s="19"/>
      <c r="B72" s="29" t="s">
        <v>85</v>
      </c>
      <c r="C72" s="30" t="s">
        <v>102</v>
      </c>
      <c r="D72" s="22"/>
    </row>
    <row r="73" spans="1:4" ht="5.25" customHeight="1">
      <c r="A73" s="19"/>
      <c r="B73" s="25"/>
      <c r="C73" s="26"/>
      <c r="D73" s="22"/>
    </row>
    <row r="74" spans="1:4" ht="79.5" customHeight="1">
      <c r="A74" s="19"/>
      <c r="B74" s="29" t="s">
        <v>85</v>
      </c>
      <c r="C74" s="30" t="s">
        <v>103</v>
      </c>
      <c r="D74" s="22"/>
    </row>
    <row r="75" spans="1:4">
      <c r="A75" s="19"/>
      <c r="B75" s="29"/>
      <c r="C75" s="30"/>
      <c r="D75" s="22"/>
    </row>
    <row r="76" spans="1:4" ht="17.25" customHeight="1">
      <c r="A76" s="19"/>
      <c r="B76" s="36" t="s">
        <v>104</v>
      </c>
      <c r="C76" s="37"/>
      <c r="D76" s="22"/>
    </row>
    <row r="77" spans="1:4" ht="29">
      <c r="A77" s="19"/>
      <c r="B77" s="29" t="s">
        <v>85</v>
      </c>
      <c r="C77" s="30" t="s">
        <v>105</v>
      </c>
      <c r="D77" s="22"/>
    </row>
    <row r="78" spans="1:4" ht="5.25" customHeight="1">
      <c r="A78" s="19"/>
      <c r="B78" s="25"/>
      <c r="C78" s="26"/>
      <c r="D78" s="22"/>
    </row>
    <row r="79" spans="1:4" ht="29">
      <c r="A79" s="19"/>
      <c r="B79" s="29" t="s">
        <v>85</v>
      </c>
      <c r="C79" s="30" t="s">
        <v>106</v>
      </c>
      <c r="D79" s="22"/>
    </row>
    <row r="80" spans="1:4" ht="5.25" customHeight="1">
      <c r="A80" s="19"/>
      <c r="B80" s="25"/>
      <c r="C80" s="26"/>
      <c r="D80" s="22"/>
    </row>
    <row r="81" spans="1:4" ht="29">
      <c r="A81" s="19"/>
      <c r="B81" s="29" t="s">
        <v>85</v>
      </c>
      <c r="C81" s="30" t="s">
        <v>107</v>
      </c>
      <c r="D81" s="22"/>
    </row>
    <row r="82" spans="1:4" ht="5.25" customHeight="1">
      <c r="A82" s="19"/>
      <c r="B82" s="25"/>
      <c r="C82" s="26"/>
      <c r="D82" s="22"/>
    </row>
    <row r="83" spans="1:4" ht="29">
      <c r="A83" s="19"/>
      <c r="B83" s="29" t="s">
        <v>85</v>
      </c>
      <c r="C83" s="30" t="s">
        <v>108</v>
      </c>
      <c r="D83" s="22"/>
    </row>
    <row r="84" spans="1:4" ht="5.25" customHeight="1">
      <c r="A84" s="19"/>
      <c r="B84" s="25"/>
      <c r="C84" s="26"/>
      <c r="D84" s="22"/>
    </row>
    <row r="85" spans="1:4" ht="29">
      <c r="A85" s="19"/>
      <c r="B85" s="29" t="s">
        <v>85</v>
      </c>
      <c r="C85" s="30" t="s">
        <v>109</v>
      </c>
      <c r="D85" s="22"/>
    </row>
    <row r="86" spans="1:4" ht="5.25" customHeight="1">
      <c r="A86" s="19"/>
      <c r="B86" s="25"/>
      <c r="C86" s="26"/>
      <c r="D86" s="22"/>
    </row>
    <row r="87" spans="1:4">
      <c r="A87" s="19"/>
      <c r="B87" s="29"/>
      <c r="C87" s="30"/>
      <c r="D87" s="22"/>
    </row>
    <row r="88" spans="1:4" ht="17.25" customHeight="1">
      <c r="A88" s="19"/>
      <c r="B88" s="118" t="s">
        <v>110</v>
      </c>
      <c r="C88" s="119"/>
      <c r="D88" s="22"/>
    </row>
    <row r="89" spans="1:4">
      <c r="A89" s="19"/>
      <c r="B89" s="29" t="s">
        <v>85</v>
      </c>
      <c r="C89" s="30" t="s">
        <v>111</v>
      </c>
      <c r="D89" s="22"/>
    </row>
    <row r="90" spans="1:4" ht="5.25" customHeight="1">
      <c r="A90" s="19"/>
      <c r="B90" s="25"/>
      <c r="C90" s="26"/>
      <c r="D90" s="22"/>
    </row>
    <row r="91" spans="1:4">
      <c r="A91" s="19"/>
      <c r="B91" s="29" t="s">
        <v>85</v>
      </c>
      <c r="C91" s="30" t="s">
        <v>112</v>
      </c>
      <c r="D91" s="22"/>
    </row>
    <row r="92" spans="1:4" ht="5.25" customHeight="1">
      <c r="A92" s="19"/>
      <c r="B92" s="25"/>
      <c r="C92" s="26"/>
      <c r="D92" s="22"/>
    </row>
    <row r="93" spans="1:4">
      <c r="A93" s="19"/>
      <c r="B93" s="29" t="s">
        <v>85</v>
      </c>
      <c r="C93" s="30" t="s">
        <v>113</v>
      </c>
      <c r="D93" s="22"/>
    </row>
    <row r="94" spans="1:4" ht="5.25" customHeight="1">
      <c r="A94" s="19"/>
      <c r="B94" s="25"/>
      <c r="C94" s="26"/>
      <c r="D94" s="22"/>
    </row>
    <row r="95" spans="1:4">
      <c r="A95" s="19"/>
      <c r="B95" s="29" t="s">
        <v>85</v>
      </c>
      <c r="C95" s="30" t="s">
        <v>114</v>
      </c>
      <c r="D95" s="22"/>
    </row>
    <row r="96" spans="1:4">
      <c r="A96" s="19"/>
      <c r="B96" s="29"/>
      <c r="C96" s="30"/>
      <c r="D96" s="22"/>
    </row>
    <row r="97" spans="1:4" ht="17.25" customHeight="1">
      <c r="A97" s="19"/>
      <c r="B97" s="118" t="s">
        <v>115</v>
      </c>
      <c r="C97" s="119"/>
      <c r="D97" s="22"/>
    </row>
    <row r="98" spans="1:4">
      <c r="A98" s="19"/>
      <c r="B98" s="29" t="s">
        <v>85</v>
      </c>
      <c r="C98" s="30" t="s">
        <v>111</v>
      </c>
      <c r="D98" s="22"/>
    </row>
    <row r="99" spans="1:4" ht="5.25" customHeight="1">
      <c r="A99" s="19"/>
      <c r="B99" s="25"/>
      <c r="C99" s="26"/>
      <c r="D99" s="22"/>
    </row>
    <row r="100" spans="1:4">
      <c r="A100" s="19"/>
      <c r="B100" s="29" t="s">
        <v>85</v>
      </c>
      <c r="C100" s="30" t="s">
        <v>112</v>
      </c>
      <c r="D100" s="22"/>
    </row>
    <row r="101" spans="1:4" ht="5.25" customHeight="1">
      <c r="A101" s="19"/>
      <c r="B101" s="25"/>
      <c r="C101" s="26"/>
      <c r="D101" s="22"/>
    </row>
    <row r="102" spans="1:4">
      <c r="A102" s="19"/>
      <c r="B102" s="29" t="s">
        <v>85</v>
      </c>
      <c r="C102" s="30" t="s">
        <v>113</v>
      </c>
      <c r="D102" s="22"/>
    </row>
    <row r="103" spans="1:4" ht="5.25" customHeight="1">
      <c r="A103" s="19"/>
      <c r="B103" s="25"/>
      <c r="C103" s="26"/>
      <c r="D103" s="22"/>
    </row>
    <row r="104" spans="1:4">
      <c r="A104" s="19"/>
      <c r="B104" s="29" t="s">
        <v>85</v>
      </c>
      <c r="C104" s="30" t="s">
        <v>114</v>
      </c>
      <c r="D104" s="22"/>
    </row>
    <row r="105" spans="1:4">
      <c r="A105" s="19"/>
      <c r="B105" s="29"/>
      <c r="C105" s="30"/>
      <c r="D105" s="22"/>
    </row>
    <row r="106" spans="1:4" ht="17.25" customHeight="1">
      <c r="A106" s="19"/>
      <c r="B106" s="118" t="s">
        <v>116</v>
      </c>
      <c r="C106" s="119"/>
      <c r="D106" s="22"/>
    </row>
    <row r="107" spans="1:4">
      <c r="A107" s="19"/>
      <c r="B107" s="29" t="s">
        <v>85</v>
      </c>
      <c r="C107" s="30" t="s">
        <v>111</v>
      </c>
      <c r="D107" s="22"/>
    </row>
    <row r="108" spans="1:4" ht="5.25" customHeight="1">
      <c r="A108" s="19"/>
      <c r="B108" s="25"/>
      <c r="C108" s="26"/>
      <c r="D108" s="22"/>
    </row>
    <row r="109" spans="1:4">
      <c r="A109" s="19"/>
      <c r="B109" s="29" t="s">
        <v>85</v>
      </c>
      <c r="C109" s="30" t="s">
        <v>112</v>
      </c>
      <c r="D109" s="22"/>
    </row>
    <row r="110" spans="1:4" ht="5.25" customHeight="1">
      <c r="A110" s="19"/>
      <c r="B110" s="25"/>
      <c r="C110" s="26"/>
      <c r="D110" s="22"/>
    </row>
    <row r="111" spans="1:4">
      <c r="A111" s="19"/>
      <c r="B111" s="29" t="s">
        <v>85</v>
      </c>
      <c r="C111" s="30" t="s">
        <v>113</v>
      </c>
      <c r="D111" s="22"/>
    </row>
    <row r="112" spans="1:4" ht="5.25" customHeight="1">
      <c r="A112" s="19"/>
      <c r="B112" s="25"/>
      <c r="C112" s="26"/>
      <c r="D112" s="22"/>
    </row>
    <row r="113" spans="1:4">
      <c r="A113" s="19"/>
      <c r="B113" s="29" t="s">
        <v>85</v>
      </c>
      <c r="C113" s="30" t="s">
        <v>114</v>
      </c>
      <c r="D113" s="22"/>
    </row>
    <row r="114" spans="1:4">
      <c r="A114" s="19"/>
      <c r="B114" s="29"/>
      <c r="C114" s="30"/>
      <c r="D114" s="22"/>
    </row>
    <row r="115" spans="1:4" ht="17.25" customHeight="1">
      <c r="A115" s="19"/>
      <c r="B115" s="118" t="s">
        <v>117</v>
      </c>
      <c r="C115" s="119"/>
      <c r="D115" s="22"/>
    </row>
    <row r="116" spans="1:4">
      <c r="A116" s="19"/>
      <c r="B116" s="29" t="s">
        <v>85</v>
      </c>
      <c r="C116" s="30" t="s">
        <v>111</v>
      </c>
      <c r="D116" s="22"/>
    </row>
    <row r="117" spans="1:4" ht="5.25" customHeight="1">
      <c r="A117" s="19"/>
      <c r="B117" s="25"/>
      <c r="C117" s="26"/>
      <c r="D117" s="22"/>
    </row>
    <row r="118" spans="1:4">
      <c r="A118" s="19"/>
      <c r="B118" s="29" t="s">
        <v>85</v>
      </c>
      <c r="C118" s="30" t="s">
        <v>112</v>
      </c>
      <c r="D118" s="22"/>
    </row>
    <row r="119" spans="1:4" ht="5.25" customHeight="1">
      <c r="A119" s="19"/>
      <c r="B119" s="25"/>
      <c r="C119" s="26"/>
      <c r="D119" s="22"/>
    </row>
    <row r="120" spans="1:4">
      <c r="A120" s="19"/>
      <c r="B120" s="29" t="s">
        <v>85</v>
      </c>
      <c r="C120" s="30" t="s">
        <v>113</v>
      </c>
      <c r="D120" s="22"/>
    </row>
    <row r="121" spans="1:4" ht="5.25" customHeight="1">
      <c r="A121" s="19"/>
      <c r="B121" s="25"/>
      <c r="C121" s="26"/>
      <c r="D121" s="22"/>
    </row>
    <row r="122" spans="1:4">
      <c r="A122" s="19"/>
      <c r="B122" s="29" t="s">
        <v>85</v>
      </c>
      <c r="C122" s="30" t="s">
        <v>114</v>
      </c>
      <c r="D122" s="22"/>
    </row>
    <row r="123" spans="1:4">
      <c r="A123" s="19"/>
      <c r="B123" s="29"/>
      <c r="C123" s="30"/>
      <c r="D123" s="22"/>
    </row>
    <row r="124" spans="1:4">
      <c r="A124" s="19"/>
      <c r="B124" s="31" t="s">
        <v>118</v>
      </c>
      <c r="C124" s="32"/>
      <c r="D124" s="22"/>
    </row>
    <row r="125" spans="1:4" ht="47.25" customHeight="1">
      <c r="A125" s="19"/>
      <c r="B125" s="116" t="s">
        <v>119</v>
      </c>
      <c r="C125" s="117"/>
      <c r="D125" s="22"/>
    </row>
    <row r="126" spans="1:4" ht="15" thickBot="1">
      <c r="A126" s="19"/>
      <c r="B126" s="38"/>
      <c r="C126" s="39"/>
      <c r="D126" s="22"/>
    </row>
    <row r="127" spans="1:4" ht="10.4" customHeight="1" thickTop="1" thickBot="1">
      <c r="A127" s="40"/>
      <c r="B127" s="41"/>
      <c r="C127" s="41"/>
      <c r="D127" s="42"/>
    </row>
  </sheetData>
  <mergeCells count="13">
    <mergeCell ref="B125:C125"/>
    <mergeCell ref="B40:C40"/>
    <mergeCell ref="B42:C42"/>
    <mergeCell ref="B88:C88"/>
    <mergeCell ref="B97:C97"/>
    <mergeCell ref="B106:C106"/>
    <mergeCell ref="B115:C115"/>
    <mergeCell ref="B28:C28"/>
    <mergeCell ref="B4:C4"/>
    <mergeCell ref="B10:C10"/>
    <mergeCell ref="B19:C19"/>
    <mergeCell ref="B21:C21"/>
    <mergeCell ref="B26:C26"/>
  </mergeCells>
  <pageMargins left="0.70866141732283472" right="0.70866141732283472" top="0.74803149606299213" bottom="0.74803149606299213" header="0.31496062992125984" footer="0.31496062992125984"/>
  <pageSetup paperSize="8" scale="7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3AD9-6863-4F62-9338-4EE63B11BE08}">
  <sheetPr codeName="Sheet26">
    <pageSetUpPr fitToPage="1"/>
  </sheetPr>
  <dimension ref="A1:T40"/>
  <sheetViews>
    <sheetView tabSelected="1" topLeftCell="A72" zoomScale="106" workbookViewId="0">
      <selection activeCell="B20" sqref="B20"/>
    </sheetView>
  </sheetViews>
  <sheetFormatPr defaultColWidth="6.6328125" defaultRowHeight="10"/>
  <cols>
    <col min="1" max="1" width="33.81640625" style="45" customWidth="1"/>
    <col min="2" max="11" width="13.1796875" style="45" customWidth="1"/>
    <col min="12" max="16384" width="6.6328125" style="45"/>
  </cols>
  <sheetData>
    <row r="1" spans="1:20" ht="10.5">
      <c r="A1" s="43" t="s">
        <v>120</v>
      </c>
      <c r="B1" s="44"/>
      <c r="C1" s="44"/>
      <c r="D1" s="44"/>
      <c r="E1" s="44"/>
      <c r="F1" s="44"/>
      <c r="G1" s="44"/>
      <c r="H1" s="44"/>
      <c r="I1" s="44"/>
      <c r="J1" s="44"/>
      <c r="K1" s="44"/>
    </row>
    <row r="2" spans="1:20" ht="10.5" thickBot="1"/>
    <row r="3" spans="1:20" ht="21.5" thickBot="1">
      <c r="A3" s="46" t="s">
        <v>121</v>
      </c>
      <c r="B3" s="4" t="s">
        <v>19</v>
      </c>
      <c r="C3" s="4" t="s">
        <v>20</v>
      </c>
      <c r="D3" s="4" t="s">
        <v>21</v>
      </c>
      <c r="E3" s="4" t="s">
        <v>22</v>
      </c>
      <c r="F3" s="4" t="s">
        <v>23</v>
      </c>
      <c r="G3" s="4" t="s">
        <v>24</v>
      </c>
      <c r="H3" s="4" t="s">
        <v>25</v>
      </c>
      <c r="I3" s="4" t="s">
        <v>26</v>
      </c>
      <c r="J3" s="4" t="s">
        <v>27</v>
      </c>
      <c r="K3" s="4" t="s">
        <v>28</v>
      </c>
    </row>
    <row r="4" spans="1:20" ht="11" thickBot="1">
      <c r="A4" s="47" t="s">
        <v>122</v>
      </c>
      <c r="B4" s="48">
        <v>37.453799999999994</v>
      </c>
      <c r="C4" s="48">
        <v>38.053206489999994</v>
      </c>
      <c r="D4" s="48">
        <v>38.891070540000001</v>
      </c>
      <c r="E4" s="48">
        <v>43.346595496275143</v>
      </c>
      <c r="F4" s="48">
        <v>46.174086972114104</v>
      </c>
      <c r="G4" s="48">
        <v>49.297146405315736</v>
      </c>
      <c r="H4" s="48">
        <v>52.514121202498494</v>
      </c>
      <c r="I4" s="48">
        <v>56.189923527158477</v>
      </c>
      <c r="J4" s="48">
        <v>55.954893421104138</v>
      </c>
      <c r="K4" s="48">
        <v>56.950810166585853</v>
      </c>
      <c r="L4" s="49"/>
      <c r="M4" s="49"/>
      <c r="N4" s="49"/>
      <c r="O4" s="49"/>
      <c r="P4" s="49"/>
      <c r="Q4" s="49"/>
      <c r="R4" s="49"/>
      <c r="S4" s="49"/>
      <c r="T4" s="49"/>
    </row>
    <row r="5" spans="1:20" ht="11" thickBot="1">
      <c r="A5" s="47" t="s">
        <v>123</v>
      </c>
      <c r="B5" s="48">
        <v>47.457800000000006</v>
      </c>
      <c r="C5" s="48">
        <v>65.995356959999995</v>
      </c>
      <c r="D5" s="48">
        <v>87.54292479999998</v>
      </c>
      <c r="E5" s="48">
        <v>104.02497919588507</v>
      </c>
      <c r="F5" s="48">
        <v>116.42602711553074</v>
      </c>
      <c r="G5" s="48">
        <v>131.90545997942672</v>
      </c>
      <c r="H5" s="48">
        <v>143.98360511123937</v>
      </c>
      <c r="I5" s="48">
        <v>149.18965812548558</v>
      </c>
      <c r="J5" s="48">
        <v>150.28706763965852</v>
      </c>
      <c r="K5" s="48">
        <v>152.3266761344438</v>
      </c>
      <c r="L5" s="49"/>
      <c r="M5" s="49"/>
      <c r="N5" s="49"/>
      <c r="O5" s="49"/>
      <c r="P5" s="49"/>
      <c r="Q5" s="49"/>
      <c r="R5" s="49"/>
      <c r="S5" s="49"/>
      <c r="T5" s="49"/>
    </row>
    <row r="6" spans="1:20" ht="11" thickBot="1">
      <c r="A6" s="50" t="s">
        <v>124</v>
      </c>
      <c r="B6" s="51">
        <f t="shared" ref="B6:K6" si="0">B4*B8-B5</f>
        <v>18.086349999999982</v>
      </c>
      <c r="C6" s="51">
        <f t="shared" si="0"/>
        <v>0.59775439749999748</v>
      </c>
      <c r="D6" s="51">
        <f t="shared" si="0"/>
        <v>-19.483551354999975</v>
      </c>
      <c r="E6" s="51">
        <f t="shared" si="0"/>
        <v>-28.168437077403567</v>
      </c>
      <c r="F6" s="51">
        <f t="shared" si="0"/>
        <v>-35.621374914331057</v>
      </c>
      <c r="G6" s="51">
        <f t="shared" si="0"/>
        <v>-45.635453770124187</v>
      </c>
      <c r="H6" s="51">
        <f t="shared" si="0"/>
        <v>-52.083893006867001</v>
      </c>
      <c r="I6" s="51">
        <f t="shared" si="0"/>
        <v>-50.857291952958249</v>
      </c>
      <c r="J6" s="51">
        <f t="shared" si="0"/>
        <v>-52.366004152726276</v>
      </c>
      <c r="K6" s="51">
        <f t="shared" si="0"/>
        <v>-52.662758342918551</v>
      </c>
      <c r="L6" s="49"/>
      <c r="M6" s="49"/>
      <c r="N6" s="49"/>
      <c r="O6" s="49"/>
      <c r="P6" s="49"/>
      <c r="Q6" s="49"/>
      <c r="R6" s="49"/>
      <c r="S6" s="49"/>
      <c r="T6" s="49"/>
    </row>
    <row r="7" spans="1:20" ht="10.5" thickBot="1">
      <c r="A7" s="50" t="s">
        <v>125</v>
      </c>
      <c r="B7" s="52">
        <f>IF(B4=0,0,B5/B4)</f>
        <v>1.2671024034944389</v>
      </c>
      <c r="C7" s="52">
        <f t="shared" ref="C7:K7" si="1">IF(C4=0,0,C5/C4)</f>
        <v>1.7342916155394927</v>
      </c>
      <c r="D7" s="52">
        <f t="shared" si="1"/>
        <v>2.2509775016339773</v>
      </c>
      <c r="E7" s="52">
        <f t="shared" si="1"/>
        <v>2.3998419715528554</v>
      </c>
      <c r="F7" s="52">
        <f t="shared" si="1"/>
        <v>2.5214581326934273</v>
      </c>
      <c r="G7" s="52">
        <f t="shared" si="1"/>
        <v>2.6757220163397388</v>
      </c>
      <c r="H7" s="52">
        <f t="shared" si="1"/>
        <v>2.7418073808381465</v>
      </c>
      <c r="I7" s="52">
        <f t="shared" si="1"/>
        <v>2.6550963012679167</v>
      </c>
      <c r="J7" s="52">
        <f t="shared" si="1"/>
        <v>2.6858610293228748</v>
      </c>
      <c r="K7" s="52">
        <f t="shared" si="1"/>
        <v>2.6747060434939489</v>
      </c>
      <c r="L7" s="49"/>
      <c r="M7" s="49"/>
      <c r="N7" s="49"/>
      <c r="O7" s="49"/>
      <c r="P7" s="49"/>
      <c r="Q7" s="49"/>
      <c r="R7" s="49"/>
      <c r="S7" s="49"/>
      <c r="T7" s="49"/>
    </row>
    <row r="8" spans="1:20" ht="10.5" thickBot="1">
      <c r="A8" s="47" t="s">
        <v>126</v>
      </c>
      <c r="B8" s="53">
        <v>1.75</v>
      </c>
      <c r="C8" s="53">
        <v>1.75</v>
      </c>
      <c r="D8" s="53">
        <v>1.75</v>
      </c>
      <c r="E8" s="53">
        <v>1.75</v>
      </c>
      <c r="F8" s="53">
        <v>1.75</v>
      </c>
      <c r="G8" s="53">
        <v>1.75</v>
      </c>
      <c r="H8" s="53">
        <v>1.75</v>
      </c>
      <c r="I8" s="53">
        <v>1.75</v>
      </c>
      <c r="J8" s="53">
        <v>1.75</v>
      </c>
      <c r="K8" s="53">
        <v>1.75</v>
      </c>
    </row>
    <row r="9" spans="1:20" ht="10.5" thickBot="1"/>
    <row r="10" spans="1:20" ht="21.5" thickBot="1">
      <c r="A10" s="46" t="s">
        <v>127</v>
      </c>
      <c r="B10" s="4" t="s">
        <v>19</v>
      </c>
      <c r="C10" s="4" t="s">
        <v>20</v>
      </c>
      <c r="D10" s="4" t="s">
        <v>21</v>
      </c>
      <c r="E10" s="4" t="s">
        <v>22</v>
      </c>
      <c r="F10" s="4" t="s">
        <v>23</v>
      </c>
      <c r="G10" s="4" t="s">
        <v>24</v>
      </c>
      <c r="H10" s="4" t="s">
        <v>25</v>
      </c>
      <c r="I10" s="4" t="s">
        <v>26</v>
      </c>
      <c r="J10" s="4" t="s">
        <v>27</v>
      </c>
      <c r="K10" s="4" t="s">
        <v>28</v>
      </c>
    </row>
    <row r="11" spans="1:20" ht="11" thickBot="1">
      <c r="A11" s="47" t="s">
        <v>122</v>
      </c>
      <c r="B11" s="48">
        <f>'2. Measures'!E$61/1000</f>
        <v>11.975</v>
      </c>
      <c r="C11" s="48">
        <f>'2. Measures'!F$61/1000</f>
        <v>12.580137140000001</v>
      </c>
      <c r="D11" s="48">
        <f>'2. Measures'!G$61/1000</f>
        <v>12.91795499</v>
      </c>
      <c r="E11" s="48">
        <f>'2. Measures'!H$61/1000</f>
        <v>15.196360306275144</v>
      </c>
      <c r="F11" s="48">
        <f>'2. Measures'!I$61/1000</f>
        <v>17.448947272114104</v>
      </c>
      <c r="G11" s="48">
        <f>'2. Measures'!J$61/1000</f>
        <v>20.030787725315736</v>
      </c>
      <c r="H11" s="48">
        <f>'2. Measures'!K$61/1000</f>
        <v>22.996297552498497</v>
      </c>
      <c r="I11" s="48">
        <f>'2. Measures'!L$61/1000</f>
        <v>26.396339777158477</v>
      </c>
      <c r="J11" s="48">
        <f>'2. Measures'!M$61/1000</f>
        <v>25.796169621104127</v>
      </c>
      <c r="K11" s="48">
        <f>'2. Measures'!N$61/1000</f>
        <v>26.74607374658585</v>
      </c>
    </row>
    <row r="12" spans="1:20" ht="11" thickBot="1">
      <c r="A12" s="47" t="s">
        <v>123</v>
      </c>
      <c r="B12" s="48">
        <f>'2. Measures'!E$64/1000</f>
        <v>34.071919999999999</v>
      </c>
      <c r="C12" s="48">
        <f>'2. Measures'!F$64/1000</f>
        <v>45.836655439999994</v>
      </c>
      <c r="D12" s="48">
        <f>'2. Measures'!G$64/1000</f>
        <v>62.693598099999996</v>
      </c>
      <c r="E12" s="48">
        <f>'2. Measures'!H$64/1000</f>
        <v>77.301021105885084</v>
      </c>
      <c r="F12" s="48">
        <f>'2. Measures'!I$64/1000</f>
        <v>92.688692585530745</v>
      </c>
      <c r="G12" s="48">
        <f>'2. Measures'!J$64/1000</f>
        <v>102.04409568942673</v>
      </c>
      <c r="H12" s="48">
        <f>'2. Measures'!K$64/1000</f>
        <v>107.21037472123933</v>
      </c>
      <c r="I12" s="48">
        <f>'2. Measures'!L$64/1000</f>
        <v>111.42461536548556</v>
      </c>
      <c r="J12" s="48">
        <f>'2. Measures'!M$64/1000</f>
        <v>111.56629263965853</v>
      </c>
      <c r="K12" s="48">
        <f>'2. Measures'!N$64/1000</f>
        <v>112.60987149444378</v>
      </c>
    </row>
    <row r="13" spans="1:20" ht="11" thickBot="1">
      <c r="A13" s="50" t="s">
        <v>124</v>
      </c>
      <c r="B13" s="51">
        <f t="shared" ref="B13:K13" si="2">B11*B15-B12</f>
        <v>25.803080000000001</v>
      </c>
      <c r="C13" s="51">
        <f t="shared" si="2"/>
        <v>17.064030260000017</v>
      </c>
      <c r="D13" s="51">
        <f t="shared" si="2"/>
        <v>1.8961768500000105</v>
      </c>
      <c r="E13" s="51">
        <f t="shared" si="2"/>
        <v>-1.3192195745093613</v>
      </c>
      <c r="F13" s="51">
        <f t="shared" si="2"/>
        <v>-5.4439562249602176</v>
      </c>
      <c r="G13" s="51">
        <f t="shared" si="2"/>
        <v>-1.8901570628480471</v>
      </c>
      <c r="H13" s="51">
        <f t="shared" si="2"/>
        <v>7.7711130412531588</v>
      </c>
      <c r="I13" s="51">
        <f t="shared" si="2"/>
        <v>20.557083520306819</v>
      </c>
      <c r="J13" s="51">
        <f t="shared" si="2"/>
        <v>17.414555465862108</v>
      </c>
      <c r="K13" s="51">
        <f t="shared" si="2"/>
        <v>21.120497238485484</v>
      </c>
    </row>
    <row r="14" spans="1:20" ht="10.5" thickBot="1">
      <c r="A14" s="50" t="s">
        <v>125</v>
      </c>
      <c r="B14" s="52">
        <f t="shared" ref="B14:K14" si="3">B12/B11</f>
        <v>2.845254279749478</v>
      </c>
      <c r="C14" s="52">
        <f t="shared" si="3"/>
        <v>3.6435735898503876</v>
      </c>
      <c r="D14" s="52">
        <f t="shared" si="3"/>
        <v>4.8532138522337425</v>
      </c>
      <c r="E14" s="52">
        <f t="shared" si="3"/>
        <v>5.0868115488130803</v>
      </c>
      <c r="F14" s="52">
        <f t="shared" si="3"/>
        <v>5.3119933907795369</v>
      </c>
      <c r="G14" s="52">
        <f t="shared" si="3"/>
        <v>5.0943625926632521</v>
      </c>
      <c r="H14" s="52">
        <f t="shared" si="3"/>
        <v>4.6620711215136961</v>
      </c>
      <c r="I14" s="52">
        <f t="shared" si="3"/>
        <v>4.2212146193808477</v>
      </c>
      <c r="J14" s="52">
        <f t="shared" si="3"/>
        <v>4.3249170042820984</v>
      </c>
      <c r="K14" s="52">
        <f t="shared" si="3"/>
        <v>4.2103327973070623</v>
      </c>
    </row>
    <row r="15" spans="1:20" ht="10.5" thickBot="1">
      <c r="A15" s="54" t="s">
        <v>128</v>
      </c>
      <c r="B15" s="55">
        <f>'2. Measures'!E$62</f>
        <v>5</v>
      </c>
      <c r="C15" s="55">
        <f>'2. Measures'!F$62</f>
        <v>5</v>
      </c>
      <c r="D15" s="55">
        <f>'2. Measures'!G$62</f>
        <v>5</v>
      </c>
      <c r="E15" s="55">
        <f>'2. Measures'!H$62</f>
        <v>5</v>
      </c>
      <c r="F15" s="55">
        <f>'2. Measures'!I$62</f>
        <v>5</v>
      </c>
      <c r="G15" s="55">
        <f>'2. Measures'!J$62</f>
        <v>5</v>
      </c>
      <c r="H15" s="55">
        <f>'2. Measures'!K$62</f>
        <v>5</v>
      </c>
      <c r="I15" s="55">
        <f>'2. Measures'!L$62</f>
        <v>5</v>
      </c>
      <c r="J15" s="55">
        <f>'2. Measures'!M$62</f>
        <v>5</v>
      </c>
      <c r="K15" s="55">
        <f>'2. Measures'!N$62</f>
        <v>5</v>
      </c>
    </row>
    <row r="16" spans="1:20" ht="10.5" thickBot="1">
      <c r="A16" s="47" t="s">
        <v>129</v>
      </c>
      <c r="B16" s="55">
        <v>1.5</v>
      </c>
      <c r="C16" s="55">
        <v>1.5</v>
      </c>
      <c r="D16" s="55">
        <v>1.5</v>
      </c>
      <c r="E16" s="55">
        <v>1.5</v>
      </c>
      <c r="F16" s="55">
        <v>1.5</v>
      </c>
      <c r="G16" s="55">
        <v>1.5</v>
      </c>
      <c r="H16" s="55">
        <v>1.5</v>
      </c>
      <c r="I16" s="55">
        <v>1.5</v>
      </c>
      <c r="J16" s="55">
        <v>1.5</v>
      </c>
      <c r="K16" s="55">
        <v>1.5</v>
      </c>
    </row>
    <row r="17" spans="1:11" ht="10.5" thickBot="1">
      <c r="A17" s="56"/>
      <c r="B17" s="57"/>
      <c r="C17" s="57"/>
      <c r="D17" s="57"/>
      <c r="E17" s="57"/>
      <c r="F17" s="57"/>
      <c r="G17" s="57"/>
      <c r="H17" s="57"/>
      <c r="I17" s="57"/>
      <c r="J17" s="57"/>
      <c r="K17" s="57"/>
    </row>
    <row r="18" spans="1:11" ht="21.5" thickBot="1">
      <c r="A18" s="46" t="s">
        <v>130</v>
      </c>
      <c r="B18" s="4" t="s">
        <v>19</v>
      </c>
      <c r="C18" s="4" t="s">
        <v>20</v>
      </c>
      <c r="D18" s="4" t="s">
        <v>21</v>
      </c>
      <c r="E18" s="4" t="s">
        <v>22</v>
      </c>
      <c r="F18" s="4" t="s">
        <v>23</v>
      </c>
      <c r="G18" s="4" t="s">
        <v>24</v>
      </c>
      <c r="H18" s="4" t="s">
        <v>25</v>
      </c>
      <c r="I18" s="4" t="s">
        <v>26</v>
      </c>
      <c r="J18" s="4" t="s">
        <v>27</v>
      </c>
      <c r="K18" s="4" t="s">
        <v>28</v>
      </c>
    </row>
    <row r="19" spans="1:11" ht="11" thickBot="1">
      <c r="A19" s="47" t="s">
        <v>131</v>
      </c>
      <c r="B19" s="48">
        <f>'4. Financials - water services'!E$30/1000</f>
        <v>5.8071999999999999</v>
      </c>
      <c r="C19" s="48">
        <f>'4. Financials - water services'!F$30/1000</f>
        <v>6.4152380000000004</v>
      </c>
      <c r="D19" s="48">
        <f>'4. Financials - water services'!G$30/1000</f>
        <v>5.0335199999999993</v>
      </c>
      <c r="E19" s="48">
        <f>'4. Financials - water services'!H$30/1000</f>
        <v>1.9344654999999999</v>
      </c>
      <c r="F19" s="48">
        <f>'4. Financials - water services'!I$30/1000</f>
        <v>1.8902015000000001</v>
      </c>
      <c r="G19" s="48">
        <f>'4. Financials - water services'!J$30/1000</f>
        <v>4.6522330671058345</v>
      </c>
      <c r="H19" s="48">
        <f>'4. Financials - water services'!K$30/1000</f>
        <v>4.9930066601457774</v>
      </c>
      <c r="I19" s="48">
        <f>'4. Financials - water services'!L$30/1000</f>
        <v>5.3390357791921907</v>
      </c>
      <c r="J19" s="48">
        <f>'4. Financials - water services'!M$30/1000</f>
        <v>5.3265646888579603</v>
      </c>
      <c r="K19" s="48">
        <f>'4. Financials - water services'!N$30/1000</f>
        <v>5.7621097806237964</v>
      </c>
    </row>
    <row r="20" spans="1:11" ht="11" thickBot="1">
      <c r="A20" s="47" t="s">
        <v>132</v>
      </c>
      <c r="B20" s="48">
        <f>'4. Financials - water services'!E$29/1000</f>
        <v>7.5073999999999996</v>
      </c>
      <c r="C20" s="48">
        <f>'4. Financials - water services'!F$29/1000</f>
        <v>6.0802399999999999</v>
      </c>
      <c r="D20" s="48">
        <f>'4. Financials - water services'!G$29/1000</f>
        <v>11.689765</v>
      </c>
      <c r="E20" s="48">
        <f>'4. Financials - water services'!H$29/1000</f>
        <v>9.5141531594999993</v>
      </c>
      <c r="F20" s="48">
        <f>'4. Financials - water services'!I$29/1000</f>
        <v>13.252749878500001</v>
      </c>
      <c r="G20" s="48">
        <f>'4. Financials - water services'!J$29/1000</f>
        <v>8.2784517231158112</v>
      </c>
      <c r="H20" s="48">
        <f>'4. Financials - water services'!K$29/1000</f>
        <v>9.2205525563727644</v>
      </c>
      <c r="I20" s="48">
        <f>'4. Financials - water services'!L$29/1000</f>
        <v>10.21760271310194</v>
      </c>
      <c r="J20" s="48">
        <f>'4. Financials - water services'!M$29/1000</f>
        <v>6.1716657343380268</v>
      </c>
      <c r="K20" s="48">
        <f>'4. Financials - water services'!N$29/1000</f>
        <v>6.7423591924395438</v>
      </c>
    </row>
    <row r="21" spans="1:11" ht="11" thickBot="1">
      <c r="A21" s="47" t="s">
        <v>133</v>
      </c>
      <c r="B21" s="48">
        <f>'4. Financials - water services'!E$28/1000</f>
        <v>0</v>
      </c>
      <c r="C21" s="48">
        <f>'4. Financials - water services'!F$28/1000</f>
        <v>0.99268400000000001</v>
      </c>
      <c r="D21" s="48">
        <f>'4. Financials - water services'!G$28/1000</f>
        <v>2.9844180000000002</v>
      </c>
      <c r="E21" s="48">
        <f>'4. Financials - water services'!H$28/1000</f>
        <v>5.2249999999999996</v>
      </c>
      <c r="F21" s="48">
        <f>'4. Financials - water services'!I$28/1000</f>
        <v>3.3000000000000003</v>
      </c>
      <c r="G21" s="48">
        <f>'4. Financials - water services'!J$28/1000</f>
        <v>2.1991724733250217</v>
      </c>
      <c r="H21" s="48">
        <f>'4. Financials - water services'!K$28/1000</f>
        <v>0</v>
      </c>
      <c r="I21" s="48">
        <f>'4. Financials - water services'!L$28/1000</f>
        <v>0</v>
      </c>
      <c r="J21" s="48">
        <f>'4. Financials - water services'!M$28/1000</f>
        <v>0</v>
      </c>
      <c r="K21" s="48">
        <f>'4. Financials - water services'!N$28/1000</f>
        <v>0</v>
      </c>
    </row>
    <row r="22" spans="1:11" ht="11" thickBot="1">
      <c r="A22" s="47" t="s">
        <v>134</v>
      </c>
      <c r="B22" s="48">
        <f>'4. Financials - water services'!E$47/1000</f>
        <v>2.4900000000000002</v>
      </c>
      <c r="C22" s="48">
        <f>'4. Financials - water services'!F$47/1000</f>
        <v>2.52416865</v>
      </c>
      <c r="D22" s="48">
        <f>'4. Financials - water services'!G$47/1000</f>
        <v>2.9698322200000002</v>
      </c>
      <c r="E22" s="48">
        <f>'4. Financials - water services'!H$47/1000</f>
        <v>3.2647691999999999</v>
      </c>
      <c r="F22" s="48">
        <f>'4. Financials - water services'!I$47/1000</f>
        <v>3.9931010599999999</v>
      </c>
      <c r="G22" s="48">
        <f>'4. Financials - water services'!J$47/1000</f>
        <v>4.4126920599999995</v>
      </c>
      <c r="H22" s="48">
        <f>'4. Financials - water services'!K$47/1000</f>
        <v>5.3395172759938738</v>
      </c>
      <c r="I22" s="48">
        <f>'4. Financials - water services'!L$47/1000</f>
        <v>5.8424173483792599</v>
      </c>
      <c r="J22" s="48">
        <f>'4. Financials - water services'!M$47/1000</f>
        <v>6.5722321212480983</v>
      </c>
      <c r="K22" s="48">
        <f>'4. Financials - water services'!N$47/1000</f>
        <v>6.7851462380683145</v>
      </c>
    </row>
    <row r="23" spans="1:11" ht="10.5" thickBot="1"/>
    <row r="24" spans="1:11" ht="11" thickBot="1">
      <c r="A24" s="46" t="s">
        <v>135</v>
      </c>
      <c r="B24" s="4" t="s">
        <v>19</v>
      </c>
      <c r="C24" s="4" t="s">
        <v>20</v>
      </c>
      <c r="D24" s="4" t="s">
        <v>21</v>
      </c>
      <c r="E24" s="4" t="s">
        <v>22</v>
      </c>
      <c r="F24" s="4" t="s">
        <v>23</v>
      </c>
      <c r="G24" s="4" t="s">
        <v>24</v>
      </c>
      <c r="H24" s="4" t="s">
        <v>25</v>
      </c>
      <c r="I24" s="4" t="s">
        <v>26</v>
      </c>
      <c r="J24" s="4" t="s">
        <v>27</v>
      </c>
      <c r="K24" s="4" t="s">
        <v>28</v>
      </c>
    </row>
    <row r="25" spans="1:11" ht="11" thickBot="1">
      <c r="A25" s="47" t="s">
        <v>136</v>
      </c>
      <c r="B25" s="48">
        <f>'2. Measures'!E56/1000</f>
        <v>34.071919999999999</v>
      </c>
      <c r="C25" s="48">
        <f>'2. Measures'!F56/1000</f>
        <v>45.836655439999994</v>
      </c>
      <c r="D25" s="48">
        <f>'2. Measures'!G56/1000</f>
        <v>62.693598099999996</v>
      </c>
      <c r="E25" s="48">
        <f>'2. Measures'!H56/1000</f>
        <v>77.301021105885084</v>
      </c>
      <c r="F25" s="48">
        <f>'2. Measures'!I56/1000</f>
        <v>92.688692585530745</v>
      </c>
      <c r="G25" s="48">
        <f>'2. Measures'!J56/1000</f>
        <v>102.04409568942673</v>
      </c>
      <c r="H25" s="48">
        <f>'2. Measures'!K56/1000</f>
        <v>107.21037472123933</v>
      </c>
      <c r="I25" s="48">
        <f>'2. Measures'!L56/1000</f>
        <v>111.42461536548556</v>
      </c>
      <c r="J25" s="48">
        <f>'2. Measures'!M56/1000</f>
        <v>111.56629263965853</v>
      </c>
      <c r="K25" s="48">
        <f>'2. Measures'!N56/1000</f>
        <v>112.60987149444378</v>
      </c>
    </row>
    <row r="26" spans="1:11" ht="11" thickBot="1">
      <c r="A26" s="47" t="s">
        <v>137</v>
      </c>
      <c r="B26" s="48">
        <f>'2. Measures'!E74/1000</f>
        <v>1.4600999999999986</v>
      </c>
      <c r="C26" s="48">
        <f>'2. Measures'!F74/1000</f>
        <v>1.5234720600000018</v>
      </c>
      <c r="D26" s="48">
        <f>'2. Measures'!G74/1000</f>
        <v>2.650805839999999</v>
      </c>
      <c r="E26" s="48">
        <f>'2. Measures'!H74/1000</f>
        <v>3.1162411536149084</v>
      </c>
      <c r="F26" s="48">
        <f>'2. Measures'!I74/1000</f>
        <v>2.8553253988543421</v>
      </c>
      <c r="G26" s="48">
        <f>'2. Measures'!J74/1000</f>
        <v>5.5744996596506757</v>
      </c>
      <c r="H26" s="48">
        <f>'2. Measures'!K74/1000</f>
        <v>8.8473256847059254</v>
      </c>
      <c r="I26" s="48">
        <f>'2. Measures'!L74/1000</f>
        <v>11.142443348047907</v>
      </c>
      <c r="J26" s="48">
        <f>'2. Measures'!M74/1000</f>
        <v>11.156598649023035</v>
      </c>
      <c r="K26" s="48">
        <f>'2. Measures'!N74/1000</f>
        <v>11.260935618278054</v>
      </c>
    </row>
    <row r="27" spans="1:11" ht="11" thickBot="1">
      <c r="A27" s="50" t="s">
        <v>138</v>
      </c>
      <c r="B27" s="58">
        <f t="shared" ref="B27:K27" si="4">B26/B25</f>
        <v>4.2853469954144019E-2</v>
      </c>
      <c r="C27" s="58">
        <f t="shared" si="4"/>
        <v>3.3236981306243446E-2</v>
      </c>
      <c r="D27" s="58">
        <f t="shared" si="4"/>
        <v>4.2281922243030415E-2</v>
      </c>
      <c r="E27" s="58">
        <f t="shared" si="4"/>
        <v>4.0313065843546311E-2</v>
      </c>
      <c r="F27" s="58">
        <f t="shared" si="4"/>
        <v>3.0805541854196736E-2</v>
      </c>
      <c r="G27" s="58">
        <f t="shared" si="4"/>
        <v>5.4628341032260982E-2</v>
      </c>
      <c r="H27" s="58">
        <f t="shared" si="4"/>
        <v>8.2523036671685007E-2</v>
      </c>
      <c r="I27" s="58">
        <f t="shared" si="4"/>
        <v>9.9999836764070579E-2</v>
      </c>
      <c r="J27" s="58">
        <f t="shared" si="4"/>
        <v>9.9999725589673252E-2</v>
      </c>
      <c r="K27" s="58">
        <f t="shared" si="4"/>
        <v>9.999954239210436E-2</v>
      </c>
    </row>
    <row r="28" spans="1:11" ht="10.5" thickBot="1"/>
    <row r="29" spans="1:11" ht="11" thickBot="1">
      <c r="A29" s="46" t="s">
        <v>139</v>
      </c>
      <c r="B29" s="4" t="s">
        <v>19</v>
      </c>
      <c r="C29" s="4" t="s">
        <v>20</v>
      </c>
      <c r="D29" s="4" t="s">
        <v>21</v>
      </c>
      <c r="E29" s="4" t="s">
        <v>22</v>
      </c>
      <c r="F29" s="4" t="s">
        <v>23</v>
      </c>
      <c r="G29" s="4" t="s">
        <v>24</v>
      </c>
      <c r="H29" s="4" t="s">
        <v>25</v>
      </c>
      <c r="I29" s="4" t="s">
        <v>26</v>
      </c>
      <c r="J29" s="4" t="s">
        <v>27</v>
      </c>
      <c r="K29" s="4" t="s">
        <v>28</v>
      </c>
    </row>
    <row r="30" spans="1:11" ht="11" thickBot="1">
      <c r="A30" s="47" t="s">
        <v>140</v>
      </c>
      <c r="B30" s="59">
        <f>Input!$F$15</f>
        <v>0.09</v>
      </c>
      <c r="C30" s="59">
        <f>Input!$F$15</f>
        <v>0.09</v>
      </c>
      <c r="D30" s="59">
        <f>Input!$F$15</f>
        <v>0.09</v>
      </c>
      <c r="E30" s="59">
        <f>Input!$F$15</f>
        <v>0.09</v>
      </c>
      <c r="F30" s="59">
        <f>Input!$F$15</f>
        <v>0.09</v>
      </c>
      <c r="G30" s="59">
        <f>Input!$F$15</f>
        <v>0.09</v>
      </c>
      <c r="H30" s="59">
        <f>Input!$F$15</f>
        <v>0.09</v>
      </c>
      <c r="I30" s="59">
        <f>Input!$F$15</f>
        <v>0.09</v>
      </c>
      <c r="J30" s="59">
        <f>Input!$F$15</f>
        <v>0.09</v>
      </c>
      <c r="K30" s="59">
        <f>Input!$F$15</f>
        <v>0.09</v>
      </c>
    </row>
    <row r="31" spans="1:11" ht="11" thickBot="1">
      <c r="A31" s="47" t="s">
        <v>141</v>
      </c>
      <c r="B31" s="48">
        <f t="shared" ref="B31:K31" si="5">B26</f>
        <v>1.4600999999999986</v>
      </c>
      <c r="C31" s="48">
        <f t="shared" si="5"/>
        <v>1.5234720600000018</v>
      </c>
      <c r="D31" s="48">
        <f t="shared" si="5"/>
        <v>2.650805839999999</v>
      </c>
      <c r="E31" s="48">
        <f t="shared" si="5"/>
        <v>3.1162411536149084</v>
      </c>
      <c r="F31" s="48">
        <f t="shared" si="5"/>
        <v>2.8553253988543421</v>
      </c>
      <c r="G31" s="48">
        <f t="shared" si="5"/>
        <v>5.5744996596506757</v>
      </c>
      <c r="H31" s="48">
        <f t="shared" si="5"/>
        <v>8.8473256847059254</v>
      </c>
      <c r="I31" s="48">
        <f t="shared" si="5"/>
        <v>11.142443348047907</v>
      </c>
      <c r="J31" s="48">
        <f t="shared" si="5"/>
        <v>11.156598649023035</v>
      </c>
      <c r="K31" s="60">
        <f t="shared" si="5"/>
        <v>11.260935618278054</v>
      </c>
    </row>
    <row r="32" spans="1:11" ht="11" thickBot="1">
      <c r="A32" s="47" t="s">
        <v>123</v>
      </c>
      <c r="B32" s="61">
        <f t="shared" ref="B32:K32" si="6">B25</f>
        <v>34.071919999999999</v>
      </c>
      <c r="C32" s="61">
        <f t="shared" si="6"/>
        <v>45.836655439999994</v>
      </c>
      <c r="D32" s="61">
        <f t="shared" si="6"/>
        <v>62.693598099999996</v>
      </c>
      <c r="E32" s="61">
        <f t="shared" si="6"/>
        <v>77.301021105885084</v>
      </c>
      <c r="F32" s="61">
        <f t="shared" si="6"/>
        <v>92.688692585530745</v>
      </c>
      <c r="G32" s="61">
        <f t="shared" si="6"/>
        <v>102.04409568942673</v>
      </c>
      <c r="H32" s="61">
        <f t="shared" si="6"/>
        <v>107.21037472123933</v>
      </c>
      <c r="I32" s="61">
        <f t="shared" si="6"/>
        <v>111.42461536548556</v>
      </c>
      <c r="J32" s="61">
        <f t="shared" si="6"/>
        <v>111.56629263965853</v>
      </c>
      <c r="K32" s="61">
        <f t="shared" si="6"/>
        <v>112.60987149444378</v>
      </c>
    </row>
    <row r="33" spans="1:11" ht="11" thickBot="1">
      <c r="A33" s="62" t="s">
        <v>142</v>
      </c>
      <c r="B33" s="63">
        <f>(B31/B30)-B32</f>
        <v>-17.84858666666668</v>
      </c>
      <c r="C33" s="63">
        <f t="shared" ref="C33:K33" si="7">(C31/C30)-C32</f>
        <v>-28.90918810666664</v>
      </c>
      <c r="D33" s="63">
        <f t="shared" si="7"/>
        <v>-33.240199877777783</v>
      </c>
      <c r="E33" s="63">
        <f t="shared" si="7"/>
        <v>-42.676119399052766</v>
      </c>
      <c r="F33" s="63">
        <f t="shared" si="7"/>
        <v>-60.962854820482498</v>
      </c>
      <c r="G33" s="63">
        <f t="shared" si="7"/>
        <v>-40.105210582196996</v>
      </c>
      <c r="H33" s="63">
        <f t="shared" si="7"/>
        <v>-8.9067560022846095</v>
      </c>
      <c r="I33" s="63">
        <f t="shared" si="7"/>
        <v>12.380310723935622</v>
      </c>
      <c r="J33" s="63">
        <f t="shared" si="7"/>
        <v>12.395914571708531</v>
      </c>
      <c r="K33" s="63">
        <f t="shared" si="7"/>
        <v>12.51163537531238</v>
      </c>
    </row>
    <row r="34" spans="1:11" ht="10.5" thickBot="1"/>
    <row r="35" spans="1:11" ht="21.5" thickBot="1">
      <c r="A35" s="46" t="s">
        <v>143</v>
      </c>
      <c r="B35" s="4" t="s">
        <v>19</v>
      </c>
      <c r="C35" s="4" t="s">
        <v>20</v>
      </c>
      <c r="D35" s="4" t="s">
        <v>21</v>
      </c>
      <c r="E35" s="4" t="s">
        <v>22</v>
      </c>
      <c r="F35" s="4" t="s">
        <v>23</v>
      </c>
      <c r="G35" s="4" t="s">
        <v>24</v>
      </c>
      <c r="H35" s="4" t="s">
        <v>25</v>
      </c>
      <c r="I35" s="4" t="s">
        <v>26</v>
      </c>
      <c r="J35" s="4" t="s">
        <v>27</v>
      </c>
      <c r="K35" s="4" t="s">
        <v>28</v>
      </c>
    </row>
    <row r="36" spans="1:11" ht="10.5" thickBot="1">
      <c r="A36" s="47" t="s">
        <v>144</v>
      </c>
      <c r="B36" s="64">
        <f>'4. Financials - water services'!E$48/1000-B37-B38</f>
        <v>9.7716000000000012</v>
      </c>
      <c r="C36" s="64">
        <f>'4. Financials - water services'!F$48/1000-C37-C38</f>
        <v>9.7266461299999989</v>
      </c>
      <c r="D36" s="64">
        <f>'4. Financials - water services'!G$48/1000-D37-D38</f>
        <v>8.2314339200000006</v>
      </c>
      <c r="E36" s="64">
        <f>'4. Financials - water services'!H$48/1000-E37-E38</f>
        <v>8.1258413321004781</v>
      </c>
      <c r="F36" s="64">
        <f>'4. Financials - water services'!I$48/1000-F37-F38</f>
        <v>9.7379396404029919</v>
      </c>
      <c r="G36" s="64">
        <f>'4. Financials - water services'!J$48/1000-G37-G38</f>
        <v>8.8421439354235822</v>
      </c>
      <c r="H36" s="64">
        <f>'4. Financials - water services'!K$48/1000-H37-H38</f>
        <v>8.0676083397149192</v>
      </c>
      <c r="I36" s="64">
        <f>'4. Financials - water services'!L$48/1000-I37-I38</f>
        <v>8.8570662191088729</v>
      </c>
      <c r="J36" s="64">
        <f>'4. Financials - water services'!M$48/1000-J37-J38</f>
        <v>8.0869905252322312</v>
      </c>
      <c r="K36" s="64">
        <f>'4. Financials - water services'!N$48/1000-K37-K38</f>
        <v>8.8732767925572418</v>
      </c>
    </row>
    <row r="37" spans="1:11" ht="10.5" thickBot="1">
      <c r="A37" s="47" t="s">
        <v>145</v>
      </c>
      <c r="B37" s="64">
        <f>'4. Financials - water services'!E$45/1000</f>
        <v>0.95120000000000005</v>
      </c>
      <c r="C37" s="64">
        <f>'4. Financials - water services'!F$45/1000</f>
        <v>1.52997345</v>
      </c>
      <c r="D37" s="64">
        <f>'4. Financials - water services'!G$45/1000</f>
        <v>2.2356697300000001</v>
      </c>
      <c r="E37" s="64">
        <f>'4. Financials - water services'!H$45/1000</f>
        <v>4.1542323205597596</v>
      </c>
      <c r="F37" s="64">
        <f>'4. Financials - water services'!I$45/1000</f>
        <v>5.0556367328567706</v>
      </c>
      <c r="G37" s="64">
        <f>'4. Financials - water services'!J$45/1000</f>
        <v>5.8140986302414799</v>
      </c>
      <c r="H37" s="64">
        <f>'4. Financials - water services'!K$45/1000</f>
        <v>6.2813180280776519</v>
      </c>
      <c r="I37" s="64">
        <f>'4. Financials - water services'!L$45/1000</f>
        <v>6.5967847100016979</v>
      </c>
      <c r="J37" s="64">
        <f>'4. Financials - water services'!M$45/1000</f>
        <v>6.7525349468488578</v>
      </c>
      <c r="K37" s="64">
        <f>'4. Financials - water services'!N$45/1000</f>
        <v>6.8118158357505543</v>
      </c>
    </row>
    <row r="38" spans="1:11" ht="10.5" thickBot="1">
      <c r="A38" s="47" t="s">
        <v>134</v>
      </c>
      <c r="B38" s="64">
        <f>'4. Financials - water services'!E$47/1000</f>
        <v>2.4900000000000002</v>
      </c>
      <c r="C38" s="64">
        <f>'4. Financials - water services'!F$47/1000</f>
        <v>2.52416865</v>
      </c>
      <c r="D38" s="64">
        <f>'4. Financials - water services'!G$47/1000</f>
        <v>2.9698322200000002</v>
      </c>
      <c r="E38" s="64">
        <f>'4. Financials - water services'!H$47/1000</f>
        <v>3.2647691999999999</v>
      </c>
      <c r="F38" s="64">
        <f>'4. Financials - water services'!I$47/1000</f>
        <v>3.9931010599999999</v>
      </c>
      <c r="G38" s="64">
        <f>'4. Financials - water services'!J$47/1000</f>
        <v>4.4126920599999995</v>
      </c>
      <c r="H38" s="64">
        <f>'4. Financials - water services'!K$47/1000</f>
        <v>5.3395172759938738</v>
      </c>
      <c r="I38" s="64">
        <f>'4. Financials - water services'!L$47/1000</f>
        <v>5.8424173483792599</v>
      </c>
      <c r="J38" s="64">
        <f>'4. Financials - water services'!M$47/1000</f>
        <v>6.5722321212480983</v>
      </c>
      <c r="K38" s="64">
        <f>'4. Financials - water services'!N$47/1000</f>
        <v>6.7851462380683145</v>
      </c>
    </row>
    <row r="39" spans="1:11" ht="10.5" thickBot="1">
      <c r="A39" s="47" t="s">
        <v>146</v>
      </c>
      <c r="B39" s="64">
        <f>'4. Financials - water services'!E$40/1000</f>
        <v>11.975</v>
      </c>
      <c r="C39" s="64">
        <f>'4. Financials - water services'!F$40/1000</f>
        <v>12.580137140000001</v>
      </c>
      <c r="D39" s="64">
        <f>'4. Financials - water services'!G$40/1000</f>
        <v>12.91795499</v>
      </c>
      <c r="E39" s="64">
        <f>'4. Financials - water services'!H$40/1000</f>
        <v>15.196360306275144</v>
      </c>
      <c r="F39" s="64">
        <f>'4. Financials - water services'!I$40/1000</f>
        <v>17.448947272114104</v>
      </c>
      <c r="G39" s="64">
        <f>'4. Financials - water services'!J$40/1000</f>
        <v>20.030787725315736</v>
      </c>
      <c r="H39" s="64">
        <f>'4. Financials - water services'!K$40/1000</f>
        <v>22.996297552498497</v>
      </c>
      <c r="I39" s="64">
        <f>'4. Financials - water services'!L$40/1000</f>
        <v>26.396339777158477</v>
      </c>
      <c r="J39" s="64">
        <f>'4. Financials - water services'!M$40/1000</f>
        <v>25.796169621104127</v>
      </c>
      <c r="K39" s="64">
        <f>'4. Financials - water services'!N$40/1000</f>
        <v>26.74607374658585</v>
      </c>
    </row>
    <row r="40" spans="1:11" ht="10.5" thickBot="1">
      <c r="A40" s="50" t="s">
        <v>147</v>
      </c>
      <c r="B40" s="65">
        <f t="shared" ref="B40:K40" si="8">B39-SUM(B36:B38)</f>
        <v>-1.2378000000000018</v>
      </c>
      <c r="C40" s="65">
        <f t="shared" si="8"/>
        <v>-1.2006510899999974</v>
      </c>
      <c r="D40" s="65">
        <f t="shared" si="8"/>
        <v>-0.51898088000000087</v>
      </c>
      <c r="E40" s="65">
        <f t="shared" si="8"/>
        <v>-0.34848254638509424</v>
      </c>
      <c r="F40" s="65">
        <f t="shared" si="8"/>
        <v>-1.3377301611456573</v>
      </c>
      <c r="G40" s="65">
        <f t="shared" si="8"/>
        <v>0.96185309965067489</v>
      </c>
      <c r="H40" s="65">
        <f t="shared" si="8"/>
        <v>3.3078539087120511</v>
      </c>
      <c r="I40" s="65">
        <f t="shared" si="8"/>
        <v>5.1000714996686476</v>
      </c>
      <c r="J40" s="65">
        <f t="shared" si="8"/>
        <v>4.384412027774939</v>
      </c>
      <c r="K40" s="65">
        <f t="shared" si="8"/>
        <v>4.2758348802097395</v>
      </c>
    </row>
  </sheetData>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34A5-DF88-471F-896F-4FF805E2EEC1}">
  <sheetPr codeName="Sheet27">
    <pageSetUpPr fitToPage="1"/>
  </sheetPr>
  <dimension ref="A1:AA80"/>
  <sheetViews>
    <sheetView topLeftCell="A44" zoomScale="115" zoomScaleNormal="115" workbookViewId="0">
      <selection activeCell="A18" sqref="A18"/>
    </sheetView>
  </sheetViews>
  <sheetFormatPr defaultColWidth="6.6328125" defaultRowHeight="10.5" outlineLevelCol="1"/>
  <cols>
    <col min="1" max="1" width="55.6328125" style="1" customWidth="1"/>
    <col min="2" max="2" width="1.54296875" style="1" customWidth="1" outlineLevel="1"/>
    <col min="3" max="3" width="9.54296875" style="1" customWidth="1" outlineLevel="1"/>
    <col min="4" max="4" width="1.54296875" style="1" customWidth="1" outlineLevel="1"/>
    <col min="5" max="15" width="13.1796875" style="1" customWidth="1"/>
    <col min="16" max="17" width="6.6328125" style="1"/>
    <col min="18" max="22" width="8.08984375" style="1" bestFit="1" customWidth="1"/>
    <col min="23" max="16384" width="6.6328125" style="1"/>
  </cols>
  <sheetData>
    <row r="1" spans="1:27">
      <c r="A1" s="66" t="s">
        <v>148</v>
      </c>
      <c r="B1" s="66"/>
      <c r="C1" s="66"/>
      <c r="D1" s="66"/>
      <c r="E1" s="66"/>
      <c r="F1" s="66"/>
      <c r="G1" s="66"/>
      <c r="H1" s="66"/>
      <c r="I1" s="66"/>
      <c r="J1" s="66"/>
      <c r="K1" s="66"/>
      <c r="L1" s="66"/>
      <c r="M1" s="66"/>
      <c r="N1" s="66"/>
      <c r="O1" s="66"/>
    </row>
    <row r="2" spans="1:27" ht="5.25" customHeight="1" thickBot="1">
      <c r="A2" s="67"/>
    </row>
    <row r="3" spans="1:27" ht="11" thickBot="1">
      <c r="A3" s="3" t="s">
        <v>149</v>
      </c>
      <c r="C3" s="4" t="s">
        <v>29</v>
      </c>
      <c r="E3" s="4" t="s">
        <v>19</v>
      </c>
      <c r="F3" s="4" t="s">
        <v>20</v>
      </c>
      <c r="G3" s="4" t="s">
        <v>21</v>
      </c>
      <c r="H3" s="4" t="s">
        <v>22</v>
      </c>
      <c r="I3" s="4" t="s">
        <v>23</v>
      </c>
      <c r="J3" s="4" t="s">
        <v>24</v>
      </c>
      <c r="K3" s="4" t="s">
        <v>25</v>
      </c>
      <c r="L3" s="4" t="s">
        <v>26</v>
      </c>
      <c r="M3" s="4" t="s">
        <v>27</v>
      </c>
      <c r="N3" s="4" t="s">
        <v>28</v>
      </c>
    </row>
    <row r="4" spans="1:27" ht="11" thickBot="1">
      <c r="A4" s="5" t="s">
        <v>150</v>
      </c>
      <c r="C4" s="68">
        <f>('5. Financials - drinking water'!C$3+'5. Financials - drinking water'!C$4)*1000/Input!$C$4*1.15</f>
        <v>1156.58722274609</v>
      </c>
      <c r="E4" s="68">
        <f>('5. Financials - drinking water'!E$3+'5. Financials - drinking water'!E$4)*1000/Input!C$45*1.15</f>
        <v>1578.1165809453832</v>
      </c>
      <c r="F4" s="68">
        <f>('5. Financials - drinking water'!F$3+'5. Financials - drinking water'!F$4)*1000/Input!D$45*1.15</f>
        <v>1643.8340502664728</v>
      </c>
      <c r="G4" s="68">
        <f>('5. Financials - drinking water'!G$3+'5. Financials - drinking water'!G$4)*1000/Input!E$45*1.15</f>
        <v>1760.0737697289517</v>
      </c>
      <c r="H4" s="68">
        <f>('5. Financials - drinking water'!H$3+'5. Financials - drinking water'!H$4)*1000/Input!F$45*1.15</f>
        <v>1883.9409725477087</v>
      </c>
      <c r="I4" s="68">
        <f>('5. Financials - drinking water'!I$3+'5. Financials - drinking water'!I$4)*1000/Input!G$45*1.15</f>
        <v>2141.7656001626801</v>
      </c>
      <c r="J4" s="68">
        <f>('5. Financials - drinking water'!J$3+'5. Financials - drinking water'!J$4)*1000/Input!H$45*1.15</f>
        <v>2135.9410300389491</v>
      </c>
      <c r="K4" s="68">
        <f>('5. Financials - drinking water'!K$3+'5. Financials - drinking water'!K$4)*1000/Input!I$45*1.15</f>
        <v>2252.66641147683</v>
      </c>
      <c r="L4" s="68">
        <f>('5. Financials - drinking water'!L$3+'5. Financials - drinking water'!L$4)*1000/Input!J$45*1.15</f>
        <v>2298.7118829378055</v>
      </c>
      <c r="M4" s="68">
        <f>('5. Financials - drinking water'!M$3+'5. Financials - drinking water'!M$4)*1000/Input!K$45*1.15</f>
        <v>2308.5064945553295</v>
      </c>
      <c r="N4" s="68">
        <f>('5. Financials - drinking water'!N$3+'5. Financials - drinking water'!N$4)*1000/Input!L$45*1.15</f>
        <v>2329.1277007632971</v>
      </c>
      <c r="R4" s="69"/>
      <c r="S4" s="69"/>
      <c r="T4" s="69"/>
      <c r="U4" s="69"/>
      <c r="V4" s="69"/>
      <c r="W4" s="69"/>
      <c r="X4" s="69"/>
      <c r="Y4" s="69"/>
      <c r="Z4" s="69"/>
      <c r="AA4" s="69"/>
    </row>
    <row r="5" spans="1:27" ht="11" thickBot="1">
      <c r="A5" s="5" t="s">
        <v>151</v>
      </c>
      <c r="C5" s="68">
        <f>('6. Financials - wastewater'!C$3+'6. Financials - wastewater'!C$4)*1000/Input!$D$4*1.15</f>
        <v>1075.0286377651701</v>
      </c>
      <c r="E5" s="68">
        <f>('6. Financials - wastewater'!E$3+'6. Financials - wastewater'!E$4)*1000/Input!C$46*1.15</f>
        <v>1171.8021927820923</v>
      </c>
      <c r="F5" s="68">
        <f>('6. Financials - wastewater'!F$3+'6. Financials - wastewater'!F$4)*1000/Input!D$46*1.15</f>
        <v>1400.086251807501</v>
      </c>
      <c r="G5" s="68">
        <f>('6. Financials - wastewater'!G$3+'6. Financials - wastewater'!G$4)*1000/Input!E$46*1.15</f>
        <v>1518.6097006711409</v>
      </c>
      <c r="H5" s="68">
        <f>('6. Financials - wastewater'!H$3+'6. Financials - wastewater'!H$4)*1000/Input!F$46*1.15</f>
        <v>1945.2534554648237</v>
      </c>
      <c r="I5" s="68">
        <f>('6. Financials - wastewater'!I$3+'6. Financials - wastewater'!I$4)*1000/Input!G$46*1.15</f>
        <v>2224.5790368518847</v>
      </c>
      <c r="J5" s="68">
        <f>('6. Financials - wastewater'!J$3+'6. Financials - wastewater'!J$4)*1000/Input!H$46*1.15</f>
        <v>2823.7400473310831</v>
      </c>
      <c r="K5" s="68">
        <f>('6. Financials - wastewater'!K$3+'6. Financials - wastewater'!K$4)*1000/Input!I$46*1.15</f>
        <v>3346.5263019075651</v>
      </c>
      <c r="L5" s="68">
        <f>('6. Financials - wastewater'!L$3+'6. Financials - wastewater'!L$4)*1000/Input!J$46*1.15</f>
        <v>3993.148470173142</v>
      </c>
      <c r="M5" s="68">
        <f>('6. Financials - wastewater'!M$3+'6. Financials - wastewater'!M$4)*1000/Input!K$46*1.15</f>
        <v>3713.4137527312159</v>
      </c>
      <c r="N5" s="68">
        <f>('6. Financials - wastewater'!N$3+'6. Financials - wastewater'!N$4)*1000/Input!L$46*1.15</f>
        <v>3827.3261057365826</v>
      </c>
      <c r="R5" s="69"/>
      <c r="S5" s="69"/>
      <c r="T5" s="69"/>
      <c r="U5" s="69"/>
      <c r="V5" s="69"/>
      <c r="W5" s="69"/>
      <c r="X5" s="69"/>
      <c r="Y5" s="69"/>
      <c r="Z5" s="69"/>
      <c r="AA5" s="69"/>
    </row>
    <row r="6" spans="1:27" ht="11" thickBot="1">
      <c r="A6" s="5" t="s">
        <v>152</v>
      </c>
      <c r="C6" s="68">
        <f>('7. Financials - stormwater'!C$3+'7. Financials - stormwater'!C$4)*1000/Input!$E$4*1.15</f>
        <v>145.1503641954678</v>
      </c>
      <c r="E6" s="68">
        <f>('7. Financials - stormwater'!E$3+'7. Financials - stormwater'!E$4)*1000/Input!C$47*1.15</f>
        <v>249.97489959839356</v>
      </c>
      <c r="F6" s="68">
        <f>('7. Financials - stormwater'!F$3+'7. Financials - stormwater'!F$4)*1000/Input!D$47*1.15</f>
        <v>166.79546325719954</v>
      </c>
      <c r="G6" s="68">
        <f>('7. Financials - stormwater'!G$3+'7. Financials - stormwater'!G$4)*1000/Input!E$47*1.15</f>
        <v>168.18469284660765</v>
      </c>
      <c r="H6" s="68">
        <f>('7. Financials - stormwater'!H$3+'7. Financials - stormwater'!H$4)*1000/Input!F$47*1.15</f>
        <v>173.8086068129316</v>
      </c>
      <c r="I6" s="68">
        <f>('7. Financials - stormwater'!I$3+'7. Financials - stormwater'!I$4)*1000/Input!G$47*1.15</f>
        <v>184.99755599873393</v>
      </c>
      <c r="J6" s="68">
        <f>('7. Financials - stormwater'!J$3+'7. Financials - stormwater'!J$4)*1000/Input!H$47*1.15</f>
        <v>192.72645217341957</v>
      </c>
      <c r="K6" s="68">
        <f>('7. Financials - stormwater'!K$3+'7. Financials - stormwater'!K$4)*1000/Input!I$47*1.15</f>
        <v>250.43584595152086</v>
      </c>
      <c r="L6" s="68">
        <f>('7. Financials - stormwater'!L$3+'7. Financials - stormwater'!L$4)*1000/Input!J$47*1.15</f>
        <v>345.52941062333167</v>
      </c>
      <c r="M6" s="68">
        <f>('7. Financials - stormwater'!M$3+'7. Financials - stormwater'!M$4)*1000/Input!K$47*1.15</f>
        <v>412.79691122238017</v>
      </c>
      <c r="N6" s="68">
        <f>('7. Financials - stormwater'!N$3+'7. Financials - stormwater'!N$4)*1000/Input!L$47*1.15</f>
        <v>448.61759774560994</v>
      </c>
      <c r="R6" s="69"/>
      <c r="S6" s="69"/>
      <c r="T6" s="69"/>
      <c r="U6" s="69"/>
      <c r="V6" s="69"/>
      <c r="W6" s="69"/>
      <c r="X6" s="69"/>
      <c r="Y6" s="69"/>
      <c r="Z6" s="69"/>
      <c r="AA6" s="69"/>
    </row>
    <row r="7" spans="1:27" ht="11" thickBot="1">
      <c r="A7" s="12" t="s">
        <v>149</v>
      </c>
      <c r="C7" s="70">
        <f>SUM(C4:C6)</f>
        <v>2376.7662247067278</v>
      </c>
      <c r="E7" s="70">
        <f t="shared" ref="E7:N7" si="0">SUM(E4:E6)</f>
        <v>2999.8936733258693</v>
      </c>
      <c r="F7" s="70">
        <f t="shared" si="0"/>
        <v>3210.7157653311733</v>
      </c>
      <c r="G7" s="70">
        <f t="shared" si="0"/>
        <v>3446.8681632467001</v>
      </c>
      <c r="H7" s="70">
        <f t="shared" si="0"/>
        <v>4003.0030348254641</v>
      </c>
      <c r="I7" s="70">
        <f t="shared" si="0"/>
        <v>4551.342193013299</v>
      </c>
      <c r="J7" s="70">
        <f t="shared" si="0"/>
        <v>5152.4075295434523</v>
      </c>
      <c r="K7" s="70">
        <f t="shared" si="0"/>
        <v>5849.6285593359153</v>
      </c>
      <c r="L7" s="70">
        <f t="shared" si="0"/>
        <v>6637.3897637342789</v>
      </c>
      <c r="M7" s="70">
        <f t="shared" si="0"/>
        <v>6434.7171585089254</v>
      </c>
      <c r="N7" s="70">
        <f t="shared" si="0"/>
        <v>6605.0714042454892</v>
      </c>
    </row>
    <row r="8" spans="1:27" ht="11" thickBot="1">
      <c r="A8" s="5" t="s">
        <v>153</v>
      </c>
      <c r="C8" s="68"/>
      <c r="E8" s="71">
        <f>(E7-C7)/C7</f>
        <v>0.26217447982122427</v>
      </c>
      <c r="F8" s="71">
        <f t="shared" ref="F8:N8" si="1">(F7-E7)/E7</f>
        <v>7.0276521424698868E-2</v>
      </c>
      <c r="G8" s="71">
        <f t="shared" si="1"/>
        <v>7.3551324743680174E-2</v>
      </c>
      <c r="H8" s="71">
        <f t="shared" si="1"/>
        <v>0.16134497904756684</v>
      </c>
      <c r="I8" s="71">
        <f t="shared" si="1"/>
        <v>0.13698194915601489</v>
      </c>
      <c r="J8" s="71">
        <f t="shared" si="1"/>
        <v>0.13206331474105376</v>
      </c>
      <c r="K8" s="71">
        <f t="shared" si="1"/>
        <v>0.13531946488989058</v>
      </c>
      <c r="L8" s="71">
        <f t="shared" si="1"/>
        <v>0.13466858560465503</v>
      </c>
      <c r="M8" s="71">
        <f t="shared" si="1"/>
        <v>-3.0534986258111092E-2</v>
      </c>
      <c r="N8" s="71">
        <f t="shared" si="1"/>
        <v>2.6474239898997966E-2</v>
      </c>
      <c r="O8" s="71">
        <f>(N7-C7)/C7</f>
        <v>1.7790160157886363</v>
      </c>
    </row>
    <row r="9" spans="1:27" ht="5.25" customHeight="1" thickBot="1">
      <c r="A9" s="72"/>
    </row>
    <row r="10" spans="1:27" ht="11" thickBot="1">
      <c r="A10" s="5" t="s">
        <v>154</v>
      </c>
      <c r="C10" s="68">
        <f>Input!$F$4</f>
        <v>4019.3333333333335</v>
      </c>
      <c r="E10" s="68">
        <f>AVERAGE(Input!C45:C47)</f>
        <v>4148.333333333333</v>
      </c>
      <c r="F10" s="68">
        <f>AVERAGE(Input!D45:D47)</f>
        <v>4194</v>
      </c>
      <c r="G10" s="68">
        <f>AVERAGE(Input!E45:E47)</f>
        <v>4235.666666666667</v>
      </c>
      <c r="H10" s="68">
        <f>AVERAGE(Input!F45:F47)</f>
        <v>4278.333333333333</v>
      </c>
      <c r="I10" s="68">
        <f>AVERAGE(Input!G45:G47)</f>
        <v>4321</v>
      </c>
      <c r="J10" s="68">
        <f>AVERAGE(Input!H45:H47)</f>
        <v>4364.333333333333</v>
      </c>
      <c r="K10" s="68">
        <f>AVERAGE(Input!I45:I47)</f>
        <v>4407.666666666667</v>
      </c>
      <c r="L10" s="68">
        <f>AVERAGE(Input!J45:J47)</f>
        <v>4452</v>
      </c>
      <c r="M10" s="68">
        <f>AVERAGE(Input!K45:K47)</f>
        <v>4496.333333333333</v>
      </c>
      <c r="N10" s="68">
        <f>AVERAGE(Input!L45:L47)</f>
        <v>4541.666666666667</v>
      </c>
    </row>
    <row r="11" spans="1:27" ht="5.25" customHeight="1" thickBot="1">
      <c r="A11" s="72"/>
    </row>
    <row r="12" spans="1:27" ht="11" thickBot="1">
      <c r="A12" s="5" t="s">
        <v>155</v>
      </c>
      <c r="C12" s="68">
        <f>Input!$O$50</f>
        <v>98301</v>
      </c>
      <c r="E12" s="68">
        <f>Input!C$50</f>
        <v>102233.04000000001</v>
      </c>
      <c r="F12" s="68">
        <f>Input!D$50</f>
        <v>105606.73032</v>
      </c>
      <c r="G12" s="68">
        <f>Input!E$50</f>
        <v>109302.9658812</v>
      </c>
      <c r="H12" s="68">
        <f>Input!F$50</f>
        <v>113128.56968704199</v>
      </c>
      <c r="I12" s="68">
        <f>Input!G$50</f>
        <v>117088.06962608846</v>
      </c>
      <c r="J12" s="68">
        <f>Input!H$50</f>
        <v>121069.06399337547</v>
      </c>
      <c r="K12" s="68">
        <f>Input!I$50</f>
        <v>125185.41216915024</v>
      </c>
      <c r="L12" s="68">
        <f>Input!J$50</f>
        <v>129441.71618290135</v>
      </c>
      <c r="M12" s="68">
        <f>Input!K$50</f>
        <v>133842.73453312</v>
      </c>
      <c r="N12" s="68">
        <f>Input!L$50</f>
        <v>138393.38750724608</v>
      </c>
    </row>
    <row r="13" spans="1:27" ht="11" thickBot="1">
      <c r="A13" s="12" t="s">
        <v>156</v>
      </c>
      <c r="C13" s="73">
        <f>C7/C12</f>
        <v>2.417845418364745E-2</v>
      </c>
      <c r="E13" s="73">
        <f t="shared" ref="E13:N13" si="2">E7/E12</f>
        <v>2.9343680607813963E-2</v>
      </c>
      <c r="F13" s="73">
        <f t="shared" si="2"/>
        <v>3.0402567673502925E-2</v>
      </c>
      <c r="G13" s="73">
        <f t="shared" si="2"/>
        <v>3.1534992078742469E-2</v>
      </c>
      <c r="H13" s="73">
        <f t="shared" si="2"/>
        <v>3.5384545618311454E-2</v>
      </c>
      <c r="I13" s="73">
        <f t="shared" si="2"/>
        <v>3.8871101108316604E-2</v>
      </c>
      <c r="J13" s="73">
        <f t="shared" si="2"/>
        <v>4.2557589524483116E-2</v>
      </c>
      <c r="K13" s="73">
        <f t="shared" si="2"/>
        <v>4.6727717375183546E-2</v>
      </c>
      <c r="L13" s="73">
        <f t="shared" si="2"/>
        <v>5.1277053174693978E-2</v>
      </c>
      <c r="M13" s="73">
        <f t="shared" si="2"/>
        <v>4.8076701219195613E-2</v>
      </c>
      <c r="N13" s="73">
        <f t="shared" si="2"/>
        <v>4.7726784662306621E-2</v>
      </c>
    </row>
    <row r="14" spans="1:27" ht="5.25" customHeight="1" thickBot="1">
      <c r="A14" s="72"/>
    </row>
    <row r="15" spans="1:27" ht="11" thickBot="1">
      <c r="A15" s="3" t="s">
        <v>157</v>
      </c>
      <c r="C15" s="4" t="s">
        <v>29</v>
      </c>
      <c r="E15" s="4" t="s">
        <v>19</v>
      </c>
      <c r="F15" s="4" t="s">
        <v>20</v>
      </c>
      <c r="G15" s="4" t="s">
        <v>21</v>
      </c>
      <c r="H15" s="4" t="s">
        <v>22</v>
      </c>
      <c r="I15" s="4" t="s">
        <v>23</v>
      </c>
      <c r="J15" s="4" t="s">
        <v>24</v>
      </c>
      <c r="K15" s="4" t="s">
        <v>25</v>
      </c>
      <c r="L15" s="4" t="s">
        <v>26</v>
      </c>
      <c r="M15" s="4" t="s">
        <v>27</v>
      </c>
      <c r="N15" s="4" t="s">
        <v>28</v>
      </c>
      <c r="O15" s="4" t="s">
        <v>158</v>
      </c>
    </row>
    <row r="16" spans="1:27" ht="11" thickBot="1">
      <c r="A16" s="5" t="s">
        <v>159</v>
      </c>
      <c r="C16" s="68">
        <f>('4. Financials - water services'!C$3+'4. Financials - water services'!C$4)</f>
        <v>8624.0670204335911</v>
      </c>
      <c r="E16" s="68">
        <f>('4. Financials - water services'!E$3+'4. Financials - water services'!E$4)</f>
        <v>10930</v>
      </c>
      <c r="F16" s="68">
        <f>('4. Financials - water services'!F$3+'4. Financials - water services'!F$4)</f>
        <v>11873.37464</v>
      </c>
      <c r="G16" s="68">
        <f>('4. Financials - water services'!G$3+'4. Financials - water services'!G$4)</f>
        <v>12878.35499</v>
      </c>
      <c r="H16" s="68">
        <f>('4. Financials - water services'!H$3+'4. Financials - water services'!H$4)</f>
        <v>15156.760306275144</v>
      </c>
      <c r="I16" s="68">
        <f>('4. Financials - water services'!I$3+'4. Financials - water services'!I$4)</f>
        <v>17409.347272114104</v>
      </c>
      <c r="J16" s="68">
        <f>('4. Financials - water services'!J$3+'4. Financials - water services'!J$4)</f>
        <v>19991.187725315736</v>
      </c>
      <c r="K16" s="68">
        <f>('4. Financials - water services'!K$3+'4. Financials - water services'!K$4)</f>
        <v>22956.697552498499</v>
      </c>
      <c r="L16" s="68">
        <f>('4. Financials - water services'!L$3+'4. Financials - water services'!L$4)</f>
        <v>26356.73977715848</v>
      </c>
      <c r="M16" s="68">
        <f>('4. Financials - water services'!M$3+'4. Financials - water services'!M$4)</f>
        <v>25756.569621104129</v>
      </c>
      <c r="N16" s="68">
        <f>('4. Financials - water services'!N$3+'4. Financials - water services'!N$4)</f>
        <v>26706.473746585852</v>
      </c>
      <c r="O16" s="74">
        <f>SUM(E16:N16)</f>
        <v>190015.50563105196</v>
      </c>
    </row>
    <row r="17" spans="1:15" ht="11" thickBot="1">
      <c r="A17" s="12" t="s">
        <v>153</v>
      </c>
      <c r="C17" s="75"/>
      <c r="E17" s="73">
        <f>(E16-C16)/C16</f>
        <v>0.26738347163847453</v>
      </c>
      <c r="F17" s="73">
        <f t="shared" ref="F17:N17" si="3">(F16-E16)/E16</f>
        <v>8.6310580054894781E-2</v>
      </c>
      <c r="G17" s="73">
        <f t="shared" si="3"/>
        <v>8.4641509298825579E-2</v>
      </c>
      <c r="H17" s="73">
        <f t="shared" si="3"/>
        <v>0.1769174182606644</v>
      </c>
      <c r="I17" s="73">
        <f t="shared" si="3"/>
        <v>0.14861929068749294</v>
      </c>
      <c r="J17" s="73">
        <f t="shared" si="3"/>
        <v>0.14830196749174882</v>
      </c>
      <c r="K17" s="73">
        <f t="shared" si="3"/>
        <v>0.14834085237603992</v>
      </c>
      <c r="L17" s="73">
        <f t="shared" si="3"/>
        <v>0.14810676565671513</v>
      </c>
      <c r="M17" s="73">
        <f t="shared" si="3"/>
        <v>-2.2771031665095261E-2</v>
      </c>
      <c r="N17" s="73">
        <f t="shared" si="3"/>
        <v>3.6880071354820562E-2</v>
      </c>
      <c r="O17" s="73"/>
    </row>
    <row r="18" spans="1:15" ht="5.25" customHeight="1" thickBot="1">
      <c r="A18" s="72"/>
    </row>
    <row r="19" spans="1:15" ht="11" thickBot="1">
      <c r="A19" s="3" t="s">
        <v>160</v>
      </c>
      <c r="C19" s="4" t="s">
        <v>29</v>
      </c>
      <c r="E19" s="4" t="s">
        <v>19</v>
      </c>
      <c r="F19" s="4" t="s">
        <v>20</v>
      </c>
      <c r="G19" s="4" t="s">
        <v>21</v>
      </c>
      <c r="H19" s="4" t="s">
        <v>22</v>
      </c>
      <c r="I19" s="4" t="s">
        <v>23</v>
      </c>
      <c r="J19" s="4" t="s">
        <v>24</v>
      </c>
      <c r="K19" s="4" t="s">
        <v>25</v>
      </c>
      <c r="L19" s="4" t="s">
        <v>26</v>
      </c>
      <c r="M19" s="4" t="s">
        <v>27</v>
      </c>
      <c r="N19" s="4" t="s">
        <v>28</v>
      </c>
      <c r="O19" s="4" t="s">
        <v>158</v>
      </c>
    </row>
    <row r="20" spans="1:15" ht="11" thickBot="1">
      <c r="A20" s="5" t="s">
        <v>161</v>
      </c>
      <c r="C20" s="68">
        <f>'4. Financials - water services'!C$50-'4. Financials - water services'!C$41</f>
        <v>145.24970763359204</v>
      </c>
      <c r="E20" s="68">
        <f>'4. Financials - water services'!E$50-'4. Financials - water services'!E$41</f>
        <v>-1237.8000000000018</v>
      </c>
      <c r="F20" s="68">
        <f>'4. Financials - water services'!F$50-'4. Financials - water services'!F$41</f>
        <v>-1200.651089999998</v>
      </c>
      <c r="G20" s="68">
        <f>'4. Financials - water services'!G$50-'4. Financials - water services'!G$41</f>
        <v>-518.98088000000132</v>
      </c>
      <c r="H20" s="68">
        <f>'4. Financials - water services'!H$50-'4. Financials - water services'!H$41</f>
        <v>-348.48254638509241</v>
      </c>
      <c r="I20" s="68">
        <f>'4. Financials - water services'!I$50-'4. Financials - water services'!I$41</f>
        <v>-1337.7301611456573</v>
      </c>
      <c r="J20" s="68">
        <f>'4. Financials - water services'!J$50-'4. Financials - water services'!J$41</f>
        <v>961.85309965067393</v>
      </c>
      <c r="K20" s="68">
        <f>'4. Financials - water services'!K$50-'4. Financials - water services'!K$41</f>
        <v>3307.8539087120512</v>
      </c>
      <c r="L20" s="68">
        <f>'4. Financials - water services'!L$50-'4. Financials - water services'!L$41</f>
        <v>5100.0714996686474</v>
      </c>
      <c r="M20" s="68">
        <f>'4. Financials - water services'!M$50-'4. Financials - water services'!M$41</f>
        <v>4384.4120277749389</v>
      </c>
      <c r="N20" s="68">
        <f>'4. Financials - water services'!N$50-'4. Financials - water services'!N$41</f>
        <v>4275.8348802097389</v>
      </c>
      <c r="O20" s="74">
        <f>SUM(E20:N20)</f>
        <v>13386.380738485299</v>
      </c>
    </row>
    <row r="21" spans="1:15" ht="11" thickBot="1">
      <c r="A21" s="5" t="s">
        <v>162</v>
      </c>
      <c r="C21" s="68">
        <f>'4. Financials - water services'!C$40</f>
        <v>9361.4384776335919</v>
      </c>
      <c r="E21" s="68">
        <f>'4. Financials - water services'!E$40</f>
        <v>11975</v>
      </c>
      <c r="F21" s="68">
        <f>'4. Financials - water services'!F$40</f>
        <v>12580.137140000001</v>
      </c>
      <c r="G21" s="68">
        <f>'4. Financials - water services'!G$40</f>
        <v>12917.95499</v>
      </c>
      <c r="H21" s="68">
        <f>'4. Financials - water services'!H$40</f>
        <v>15196.360306275144</v>
      </c>
      <c r="I21" s="68">
        <f>'4. Financials - water services'!I$40</f>
        <v>17448.947272114103</v>
      </c>
      <c r="J21" s="68">
        <f>'4. Financials - water services'!J$40</f>
        <v>20030.787725315735</v>
      </c>
      <c r="K21" s="68">
        <f>'4. Financials - water services'!K$40</f>
        <v>22996.297552498498</v>
      </c>
      <c r="L21" s="68">
        <f>'4. Financials - water services'!L$40</f>
        <v>26396.339777158479</v>
      </c>
      <c r="M21" s="68">
        <f>'4. Financials - water services'!M$40</f>
        <v>25796.169621104127</v>
      </c>
      <c r="N21" s="68">
        <f>'4. Financials - water services'!N$40</f>
        <v>26746.073746585851</v>
      </c>
      <c r="O21" s="74">
        <f>SUM(E21:N21)</f>
        <v>192084.06813105193</v>
      </c>
    </row>
    <row r="22" spans="1:15" ht="11" thickBot="1">
      <c r="A22" s="12" t="s">
        <v>160</v>
      </c>
      <c r="C22" s="73">
        <f>C20/C21</f>
        <v>1.5515746643063837E-2</v>
      </c>
      <c r="E22" s="73">
        <f t="shared" ref="E22:O22" si="4">E20/E21</f>
        <v>-0.10336534446764106</v>
      </c>
      <c r="F22" s="73">
        <f t="shared" si="4"/>
        <v>-9.5440222681069914E-2</v>
      </c>
      <c r="G22" s="73">
        <f t="shared" si="4"/>
        <v>-4.0175157786333279E-2</v>
      </c>
      <c r="H22" s="73">
        <f t="shared" si="4"/>
        <v>-2.2931974457146224E-2</v>
      </c>
      <c r="I22" s="73">
        <f t="shared" si="4"/>
        <v>-7.666537930821421E-2</v>
      </c>
      <c r="J22" s="73">
        <f t="shared" si="4"/>
        <v>4.8018735600449919E-2</v>
      </c>
      <c r="K22" s="73">
        <f t="shared" si="4"/>
        <v>0.14384289041140277</v>
      </c>
      <c r="L22" s="73">
        <f t="shared" si="4"/>
        <v>0.19321131424751123</v>
      </c>
      <c r="M22" s="73">
        <f t="shared" si="4"/>
        <v>0.16996368422806477</v>
      </c>
      <c r="N22" s="73">
        <f t="shared" si="4"/>
        <v>0.15986775931011374</v>
      </c>
      <c r="O22" s="73">
        <f t="shared" si="4"/>
        <v>6.9690218812693314E-2</v>
      </c>
    </row>
    <row r="23" spans="1:15" ht="5.25" customHeight="1" thickBot="1">
      <c r="A23" s="72"/>
    </row>
    <row r="24" spans="1:15" ht="11" thickBot="1">
      <c r="A24" s="3" t="s">
        <v>163</v>
      </c>
      <c r="C24" s="4" t="s">
        <v>29</v>
      </c>
      <c r="E24" s="4" t="s">
        <v>19</v>
      </c>
      <c r="F24" s="4" t="s">
        <v>20</v>
      </c>
      <c r="G24" s="4" t="s">
        <v>21</v>
      </c>
      <c r="H24" s="4" t="s">
        <v>22</v>
      </c>
      <c r="I24" s="4" t="s">
        <v>23</v>
      </c>
      <c r="J24" s="4" t="s">
        <v>24</v>
      </c>
      <c r="K24" s="4" t="s">
        <v>25</v>
      </c>
      <c r="L24" s="4" t="s">
        <v>26</v>
      </c>
      <c r="M24" s="4" t="s">
        <v>27</v>
      </c>
      <c r="N24" s="4" t="s">
        <v>28</v>
      </c>
      <c r="O24" s="4" t="s">
        <v>158</v>
      </c>
    </row>
    <row r="25" spans="1:15" ht="11" thickBot="1">
      <c r="A25" s="5" t="s">
        <v>164</v>
      </c>
      <c r="C25" s="68">
        <f>'4. Financials - water services'!C$50+'4. Financials - water services'!C$47+'4. Financials - water services'!C$45-'4. Financials - water services'!C$41</f>
        <v>2928.7509876335921</v>
      </c>
      <c r="E25" s="68">
        <f>'4. Financials - water services'!E$50+'4. Financials - water services'!E$47+'4. Financials - water services'!E$45-'4. Financials - water services'!E$41</f>
        <v>2203.3999999999978</v>
      </c>
      <c r="F25" s="68">
        <f>'4. Financials - water services'!F$50+'4. Financials - water services'!F$47+'4. Financials - water services'!F$45-'4. Financials - water services'!F$41</f>
        <v>2853.491010000002</v>
      </c>
      <c r="G25" s="68">
        <f>'4. Financials - water services'!G$50+'4. Financials - water services'!G$47+'4. Financials - water services'!G$45-'4. Financials - water services'!G$41</f>
        <v>4686.5210699999989</v>
      </c>
      <c r="H25" s="68">
        <f>'4. Financials - water services'!H$50+'4. Financials - water services'!H$47+'4. Financials - water services'!H$45-'4. Financials - water services'!H$41</f>
        <v>7070.5189741746672</v>
      </c>
      <c r="I25" s="68">
        <f>'4. Financials - water services'!I$50+'4. Financials - water services'!I$47+'4. Financials - water services'!I$45-'4. Financials - water services'!I$41</f>
        <v>7711.0076317111134</v>
      </c>
      <c r="J25" s="68">
        <f>'4. Financials - water services'!J$50+'4. Financials - water services'!J$47+'4. Financials - water services'!J$45-'4. Financials - water services'!J$41</f>
        <v>11188.643789892154</v>
      </c>
      <c r="K25" s="68">
        <f>'4. Financials - water services'!K$50+'4. Financials - water services'!K$47+'4. Financials - water services'!K$45-'4. Financials - water services'!K$41</f>
        <v>14928.689212783578</v>
      </c>
      <c r="L25" s="68">
        <f>'4. Financials - water services'!L$50+'4. Financials - water services'!L$47+'4. Financials - water services'!L$45-'4. Financials - water services'!L$41</f>
        <v>17539.273558049605</v>
      </c>
      <c r="M25" s="68">
        <f>'4. Financials - water services'!M$50+'4. Financials - water services'!M$47+'4. Financials - water services'!M$45-'4. Financials - water services'!M$41</f>
        <v>17709.179095871896</v>
      </c>
      <c r="N25" s="68">
        <f>'4. Financials - water services'!N$50+'4. Financials - water services'!N$47+'4. Financials - water services'!N$45-'4. Financials - water services'!N$41</f>
        <v>17872.796954028607</v>
      </c>
      <c r="O25" s="74">
        <f>SUM(E25:N25)</f>
        <v>103763.52129651161</v>
      </c>
    </row>
    <row r="26" spans="1:15" ht="11" thickBot="1">
      <c r="A26" s="5" t="s">
        <v>162</v>
      </c>
      <c r="C26" s="68">
        <f>'4. Financials - water services'!C$40</f>
        <v>9361.4384776335919</v>
      </c>
      <c r="E26" s="68">
        <f>'4. Financials - water services'!E$40</f>
        <v>11975</v>
      </c>
      <c r="F26" s="68">
        <f>'4. Financials - water services'!F$40</f>
        <v>12580.137140000001</v>
      </c>
      <c r="G26" s="68">
        <f>'4. Financials - water services'!G$40</f>
        <v>12917.95499</v>
      </c>
      <c r="H26" s="68">
        <f>'4. Financials - water services'!H$40</f>
        <v>15196.360306275144</v>
      </c>
      <c r="I26" s="68">
        <f>'4. Financials - water services'!I$40</f>
        <v>17448.947272114103</v>
      </c>
      <c r="J26" s="68">
        <f>'4. Financials - water services'!J$40</f>
        <v>20030.787725315735</v>
      </c>
      <c r="K26" s="68">
        <f>'4. Financials - water services'!K$40</f>
        <v>22996.297552498498</v>
      </c>
      <c r="L26" s="68">
        <f>'4. Financials - water services'!L$40</f>
        <v>26396.339777158479</v>
      </c>
      <c r="M26" s="68">
        <f>'4. Financials - water services'!M$40</f>
        <v>25796.169621104127</v>
      </c>
      <c r="N26" s="68">
        <f>'4. Financials - water services'!N$40</f>
        <v>26746.073746585851</v>
      </c>
      <c r="O26" s="74">
        <f>SUM(E26:N26)</f>
        <v>192084.06813105193</v>
      </c>
    </row>
    <row r="27" spans="1:15" ht="11" thickBot="1">
      <c r="A27" s="12" t="s">
        <v>163</v>
      </c>
      <c r="C27" s="73">
        <f>C25/C26</f>
        <v>0.31285266624685754</v>
      </c>
      <c r="E27" s="73">
        <f t="shared" ref="E27:O27" si="5">E25/E26</f>
        <v>0.18399999999999983</v>
      </c>
      <c r="F27" s="73">
        <f t="shared" si="5"/>
        <v>0.22682511154246462</v>
      </c>
      <c r="G27" s="73">
        <f t="shared" si="5"/>
        <v>0.36279125245659327</v>
      </c>
      <c r="H27" s="73">
        <f t="shared" si="5"/>
        <v>0.46527713423950512</v>
      </c>
      <c r="I27" s="73">
        <f t="shared" si="5"/>
        <v>0.4419182149764645</v>
      </c>
      <c r="J27" s="73">
        <f t="shared" si="5"/>
        <v>0.55857233091994107</v>
      </c>
      <c r="K27" s="73">
        <f t="shared" si="5"/>
        <v>0.64917794608904811</v>
      </c>
      <c r="L27" s="73">
        <f t="shared" si="5"/>
        <v>0.66445854637872359</v>
      </c>
      <c r="M27" s="73">
        <f t="shared" si="5"/>
        <v>0.68650421190376354</v>
      </c>
      <c r="N27" s="73">
        <f t="shared" si="5"/>
        <v>0.66824002368983515</v>
      </c>
      <c r="O27" s="73">
        <f t="shared" si="5"/>
        <v>0.5401984782294259</v>
      </c>
    </row>
    <row r="28" spans="1:15">
      <c r="A28" s="76"/>
    </row>
    <row r="30" spans="1:15">
      <c r="A30" s="66" t="s">
        <v>165</v>
      </c>
      <c r="B30" s="66"/>
      <c r="C30" s="66"/>
      <c r="D30" s="66"/>
      <c r="E30" s="66"/>
      <c r="F30" s="66"/>
      <c r="G30" s="66"/>
      <c r="H30" s="66"/>
      <c r="I30" s="66"/>
      <c r="J30" s="66"/>
      <c r="K30" s="66"/>
      <c r="L30" s="66"/>
      <c r="M30" s="66"/>
      <c r="N30" s="66"/>
      <c r="O30" s="66"/>
    </row>
    <row r="31" spans="1:15" ht="5.25" customHeight="1" thickBot="1">
      <c r="O31" s="77"/>
    </row>
    <row r="32" spans="1:15" ht="11" thickBot="1">
      <c r="A32" s="3" t="s">
        <v>166</v>
      </c>
      <c r="C32" s="4" t="s">
        <v>29</v>
      </c>
      <c r="E32" s="4" t="s">
        <v>19</v>
      </c>
      <c r="F32" s="4" t="s">
        <v>20</v>
      </c>
      <c r="G32" s="4" t="s">
        <v>21</v>
      </c>
      <c r="H32" s="4" t="s">
        <v>22</v>
      </c>
      <c r="I32" s="4" t="s">
        <v>23</v>
      </c>
      <c r="J32" s="4" t="s">
        <v>24</v>
      </c>
      <c r="K32" s="4" t="s">
        <v>25</v>
      </c>
      <c r="L32" s="4" t="s">
        <v>26</v>
      </c>
      <c r="M32" s="4" t="s">
        <v>27</v>
      </c>
      <c r="N32" s="4" t="s">
        <v>28</v>
      </c>
      <c r="O32" s="4" t="s">
        <v>158</v>
      </c>
    </row>
    <row r="33" spans="1:15" ht="11" thickBot="1">
      <c r="A33" s="5" t="s">
        <v>167</v>
      </c>
      <c r="C33" s="68">
        <f>'4. Financials - water services'!C$30</f>
        <v>2960.8575399999995</v>
      </c>
      <c r="E33" s="68">
        <f>'4. Financials - water services'!E$30</f>
        <v>5807.2</v>
      </c>
      <c r="F33" s="68">
        <f>'4. Financials - water services'!F$30</f>
        <v>6415.2380000000003</v>
      </c>
      <c r="G33" s="68">
        <f>'4. Financials - water services'!G$30</f>
        <v>5033.5199999999995</v>
      </c>
      <c r="H33" s="68">
        <f>'4. Financials - water services'!H$30</f>
        <v>1934.4655</v>
      </c>
      <c r="I33" s="68">
        <f>'4. Financials - water services'!I$30</f>
        <v>1890.2015000000001</v>
      </c>
      <c r="J33" s="68">
        <f>'4. Financials - water services'!J$30</f>
        <v>4652.2330671058344</v>
      </c>
      <c r="K33" s="68">
        <f>'4. Financials - water services'!K$30</f>
        <v>4993.0066601457775</v>
      </c>
      <c r="L33" s="68">
        <f>'4. Financials - water services'!L$30</f>
        <v>5339.0357791921906</v>
      </c>
      <c r="M33" s="68">
        <f>'4. Financials - water services'!M$30</f>
        <v>5326.5646888579604</v>
      </c>
      <c r="N33" s="68">
        <f>'4. Financials - water services'!N$30</f>
        <v>5762.1097806237967</v>
      </c>
      <c r="O33" s="74">
        <f>SUM(E33:N33)</f>
        <v>47153.574975925549</v>
      </c>
    </row>
    <row r="34" spans="1:15" ht="11" thickBot="1">
      <c r="A34" s="5" t="s">
        <v>168</v>
      </c>
      <c r="C34" s="68">
        <f>'4. Financials - water services'!C$47</f>
        <v>2109.991</v>
      </c>
      <c r="E34" s="68">
        <f>'4. Financials - water services'!E$47</f>
        <v>2490</v>
      </c>
      <c r="F34" s="68">
        <f>'4. Financials - water services'!F$47</f>
        <v>2524.1686500000001</v>
      </c>
      <c r="G34" s="68">
        <f>'4. Financials - water services'!G$47</f>
        <v>2969.8322200000002</v>
      </c>
      <c r="H34" s="68">
        <f>'4. Financials - water services'!H$47</f>
        <v>3264.7691999999997</v>
      </c>
      <c r="I34" s="68">
        <f>'4. Financials - water services'!I$47</f>
        <v>3993.10106</v>
      </c>
      <c r="J34" s="68">
        <f>'4. Financials - water services'!J$47</f>
        <v>4412.6920599999994</v>
      </c>
      <c r="K34" s="68">
        <f>'4. Financials - water services'!K$47</f>
        <v>5339.5172759938741</v>
      </c>
      <c r="L34" s="68">
        <f>'4. Financials - water services'!L$47</f>
        <v>5842.4173483792601</v>
      </c>
      <c r="M34" s="68">
        <f>'4. Financials - water services'!M$47</f>
        <v>6572.2321212480983</v>
      </c>
      <c r="N34" s="68">
        <f>'4. Financials - water services'!N$47</f>
        <v>6785.1462380683142</v>
      </c>
      <c r="O34" s="74">
        <f>SUM(E34:N34)</f>
        <v>44193.876173689547</v>
      </c>
    </row>
    <row r="35" spans="1:15" ht="11" thickBot="1">
      <c r="A35" s="12" t="s">
        <v>166</v>
      </c>
      <c r="C35" s="73">
        <f>C33/C34-1</f>
        <v>0.40325600440949727</v>
      </c>
      <c r="D35" s="78"/>
      <c r="E35" s="73">
        <f t="shared" ref="E35:O35" si="6">E33/E34-1</f>
        <v>1.3322088353413655</v>
      </c>
      <c r="F35" s="73">
        <f t="shared" si="6"/>
        <v>1.5415251076824839</v>
      </c>
      <c r="G35" s="73">
        <f t="shared" si="6"/>
        <v>0.69488362544601912</v>
      </c>
      <c r="H35" s="73">
        <f t="shared" si="6"/>
        <v>-0.40747250984847561</v>
      </c>
      <c r="I35" s="73">
        <f t="shared" si="6"/>
        <v>-0.52663319269961073</v>
      </c>
      <c r="J35" s="73">
        <f t="shared" si="6"/>
        <v>5.4284550983563218E-2</v>
      </c>
      <c r="K35" s="73">
        <f t="shared" si="6"/>
        <v>-6.4895494842948875E-2</v>
      </c>
      <c r="L35" s="73">
        <f t="shared" si="6"/>
        <v>-8.615981008729412E-2</v>
      </c>
      <c r="M35" s="73">
        <f t="shared" si="6"/>
        <v>-0.18953491133748634</v>
      </c>
      <c r="N35" s="73">
        <f t="shared" si="6"/>
        <v>-0.15077588920703489</v>
      </c>
      <c r="O35" s="73">
        <f t="shared" si="6"/>
        <v>6.6970790038960892E-2</v>
      </c>
    </row>
    <row r="36" spans="1:15" ht="5.25" customHeight="1" thickBot="1"/>
    <row r="37" spans="1:15" ht="11" thickBot="1">
      <c r="A37" s="3" t="s">
        <v>169</v>
      </c>
      <c r="C37" s="4" t="s">
        <v>29</v>
      </c>
      <c r="E37" s="4" t="s">
        <v>19</v>
      </c>
      <c r="F37" s="4" t="s">
        <v>20</v>
      </c>
      <c r="G37" s="4" t="s">
        <v>21</v>
      </c>
      <c r="H37" s="4" t="s">
        <v>22</v>
      </c>
      <c r="I37" s="4" t="s">
        <v>23</v>
      </c>
      <c r="J37" s="4" t="s">
        <v>24</v>
      </c>
      <c r="K37" s="4" t="s">
        <v>25</v>
      </c>
      <c r="L37" s="4" t="s">
        <v>26</v>
      </c>
      <c r="M37" s="4" t="s">
        <v>27</v>
      </c>
      <c r="N37" s="4" t="s">
        <v>28</v>
      </c>
      <c r="O37" s="4" t="s">
        <v>158</v>
      </c>
    </row>
    <row r="38" spans="1:15" ht="11" thickBot="1">
      <c r="A38" s="5" t="s">
        <v>170</v>
      </c>
      <c r="C38" s="68">
        <f>SUM('4. Financials - water services'!C$28:C$30)</f>
        <v>5607.5669699999999</v>
      </c>
      <c r="E38" s="68">
        <f>SUM('4. Financials - water services'!E$28:E$30)</f>
        <v>13314.599999999999</v>
      </c>
      <c r="F38" s="68">
        <f>SUM('4. Financials - water services'!F$28:F$30)</f>
        <v>13488.162</v>
      </c>
      <c r="G38" s="68">
        <f>SUM('4. Financials - water services'!G$28:G$30)</f>
        <v>19707.702999999998</v>
      </c>
      <c r="H38" s="68">
        <f>SUM('4. Financials - water services'!H$28:H$30)</f>
        <v>16673.6186595</v>
      </c>
      <c r="I38" s="68">
        <f>SUM('4. Financials - water services'!I$28:I$30)</f>
        <v>18442.951378500002</v>
      </c>
      <c r="J38" s="68">
        <f>SUM('4. Financials - water services'!J$28:J$30)</f>
        <v>15129.857263546666</v>
      </c>
      <c r="K38" s="68">
        <f>SUM('4. Financials - water services'!K$28:K$30)</f>
        <v>14213.559216518541</v>
      </c>
      <c r="L38" s="68">
        <f>SUM('4. Financials - water services'!L$28:L$30)</f>
        <v>15556.638492294131</v>
      </c>
      <c r="M38" s="68">
        <f>SUM('4. Financials - water services'!M$28:M$30)</f>
        <v>11498.230423195986</v>
      </c>
      <c r="N38" s="68">
        <f>SUM('4. Financials - water services'!N$28:N$30)</f>
        <v>12504.46897306334</v>
      </c>
      <c r="O38" s="74">
        <f>SUM(E38:N38)</f>
        <v>150529.78940661869</v>
      </c>
    </row>
    <row r="39" spans="1:15" ht="11" thickBot="1">
      <c r="A39" s="5" t="s">
        <v>168</v>
      </c>
      <c r="C39" s="68">
        <f>'4. Financials - water services'!C$47</f>
        <v>2109.991</v>
      </c>
      <c r="E39" s="68">
        <f>'4. Financials - water services'!E$47</f>
        <v>2490</v>
      </c>
      <c r="F39" s="68">
        <f>'4. Financials - water services'!F$47</f>
        <v>2524.1686500000001</v>
      </c>
      <c r="G39" s="68">
        <f>'4. Financials - water services'!G$47</f>
        <v>2969.8322200000002</v>
      </c>
      <c r="H39" s="68">
        <f>'4. Financials - water services'!H$47</f>
        <v>3264.7691999999997</v>
      </c>
      <c r="I39" s="68">
        <f>'4. Financials - water services'!I$47</f>
        <v>3993.10106</v>
      </c>
      <c r="J39" s="68">
        <f>'4. Financials - water services'!J$47</f>
        <v>4412.6920599999994</v>
      </c>
      <c r="K39" s="68">
        <f>'4. Financials - water services'!K$47</f>
        <v>5339.5172759938741</v>
      </c>
      <c r="L39" s="68">
        <f>'4. Financials - water services'!L$47</f>
        <v>5842.4173483792601</v>
      </c>
      <c r="M39" s="68">
        <f>'4. Financials - water services'!M$47</f>
        <v>6572.2321212480983</v>
      </c>
      <c r="N39" s="68">
        <f>'4. Financials - water services'!N$47</f>
        <v>6785.1462380683142</v>
      </c>
      <c r="O39" s="74">
        <f>SUM(E39:N39)</f>
        <v>44193.876173689547</v>
      </c>
    </row>
    <row r="40" spans="1:15" ht="11" thickBot="1">
      <c r="A40" s="12" t="s">
        <v>169</v>
      </c>
      <c r="C40" s="73">
        <f>C38/C39-1</f>
        <v>1.657626013570674</v>
      </c>
      <c r="D40" s="78"/>
      <c r="E40" s="73">
        <f t="shared" ref="E40:O40" si="7">E38/E39-1</f>
        <v>4.34722891566265</v>
      </c>
      <c r="F40" s="73">
        <f t="shared" si="7"/>
        <v>4.3436057055854809</v>
      </c>
      <c r="G40" s="73">
        <f t="shared" si="7"/>
        <v>5.6359651118607621</v>
      </c>
      <c r="H40" s="73">
        <f t="shared" si="7"/>
        <v>4.107135493528915</v>
      </c>
      <c r="I40" s="73">
        <f t="shared" si="7"/>
        <v>3.6187038848698716</v>
      </c>
      <c r="J40" s="73">
        <f t="shared" si="7"/>
        <v>2.428713596558258</v>
      </c>
      <c r="K40" s="73">
        <f t="shared" si="7"/>
        <v>1.6619558439152895</v>
      </c>
      <c r="L40" s="73">
        <f t="shared" si="7"/>
        <v>1.6627057884883358</v>
      </c>
      <c r="M40" s="73">
        <f t="shared" si="7"/>
        <v>0.74951678684964307</v>
      </c>
      <c r="N40" s="73">
        <f t="shared" si="7"/>
        <v>0.842918123548547</v>
      </c>
      <c r="O40" s="73">
        <f t="shared" si="7"/>
        <v>2.40612325596901</v>
      </c>
    </row>
    <row r="41" spans="1:15" ht="5.25" customHeight="1" thickBot="1"/>
    <row r="42" spans="1:15" ht="11" thickBot="1">
      <c r="A42" s="3" t="s">
        <v>171</v>
      </c>
      <c r="C42" s="4" t="s">
        <v>29</v>
      </c>
      <c r="E42" s="4" t="s">
        <v>19</v>
      </c>
      <c r="F42" s="4" t="s">
        <v>20</v>
      </c>
      <c r="G42" s="4" t="s">
        <v>21</v>
      </c>
      <c r="H42" s="4" t="s">
        <v>22</v>
      </c>
      <c r="I42" s="4" t="s">
        <v>23</v>
      </c>
      <c r="J42" s="4" t="s">
        <v>24</v>
      </c>
      <c r="K42" s="4" t="s">
        <v>25</v>
      </c>
      <c r="L42" s="4" t="s">
        <v>26</v>
      </c>
      <c r="M42" s="4" t="s">
        <v>27</v>
      </c>
      <c r="N42" s="4" t="s">
        <v>28</v>
      </c>
    </row>
    <row r="43" spans="1:15" ht="11" thickBot="1">
      <c r="A43" s="5" t="s">
        <v>172</v>
      </c>
      <c r="C43" s="68">
        <f>'4. Financials - water services'!C$82</f>
        <v>126520.61199999999</v>
      </c>
      <c r="E43" s="68">
        <f>'4. Financials - water services'!E$82</f>
        <v>140887.78913600001</v>
      </c>
      <c r="F43" s="68">
        <f>'4. Financials - water services'!F$82</f>
        <v>151851.78248600001</v>
      </c>
      <c r="G43" s="68">
        <f>'4. Financials - water services'!G$82</f>
        <v>175655.01300150863</v>
      </c>
      <c r="H43" s="68">
        <f>'4. Financials - water services'!H$82</f>
        <v>189063.86246100866</v>
      </c>
      <c r="I43" s="68">
        <f>'4. Financials - water services'!I$82</f>
        <v>213085.07081659717</v>
      </c>
      <c r="J43" s="68">
        <f>'4. Financials - water services'!J$82</f>
        <v>223802.23602014387</v>
      </c>
      <c r="K43" s="68">
        <f>'4. Financials - water services'!K$82</f>
        <v>243547.69537758303</v>
      </c>
      <c r="L43" s="68">
        <f>'4. Financials - water services'!L$82</f>
        <v>253261.91652149789</v>
      </c>
      <c r="M43" s="68">
        <f>'4. Financials - water services'!M$82</f>
        <v>270490.36568039405</v>
      </c>
      <c r="N43" s="68">
        <f>'4. Financials - water services'!N$82</f>
        <v>276209.6884153891</v>
      </c>
    </row>
    <row r="44" spans="1:15" ht="15" customHeight="1" thickBot="1">
      <c r="A44" s="5" t="s">
        <v>173</v>
      </c>
      <c r="C44" s="68">
        <f>SUM(Input!$C$13:$E$13)</f>
        <v>146885.799</v>
      </c>
      <c r="E44" s="68">
        <f>Input!C$31</f>
        <v>164313.20137200001</v>
      </c>
      <c r="F44" s="68">
        <f>Input!D$31</f>
        <v>177801.36337199999</v>
      </c>
      <c r="G44" s="68">
        <f>Input!E$31</f>
        <v>205781.80820697243</v>
      </c>
      <c r="H44" s="68">
        <f>Input!F$31</f>
        <v>222455.42686647244</v>
      </c>
      <c r="I44" s="68">
        <f>Input!G$31</f>
        <v>252160.18423008756</v>
      </c>
      <c r="J44" s="68">
        <f>Input!H$31</f>
        <v>267290.04149363423</v>
      </c>
      <c r="K44" s="68">
        <f>Input!I$31</f>
        <v>294487.48176574754</v>
      </c>
      <c r="L44" s="68">
        <f>Input!J$31</f>
        <v>310044.12025804166</v>
      </c>
      <c r="M44" s="68">
        <f>Input!K$31</f>
        <v>336603.05386689224</v>
      </c>
      <c r="N44" s="68">
        <f>Input!L$31</f>
        <v>349107.52283995558</v>
      </c>
    </row>
    <row r="45" spans="1:15" ht="11" thickBot="1">
      <c r="A45" s="12" t="s">
        <v>171</v>
      </c>
      <c r="C45" s="73">
        <f>C43/C44</f>
        <v>0.86135360165076269</v>
      </c>
      <c r="E45" s="73">
        <f t="shared" ref="E45:N45" si="8">E43/E44</f>
        <v>0.85743438725312404</v>
      </c>
      <c r="F45" s="73">
        <f t="shared" si="8"/>
        <v>0.85405297015800896</v>
      </c>
      <c r="G45" s="73">
        <f t="shared" si="8"/>
        <v>0.85359835513174864</v>
      </c>
      <c r="H45" s="73">
        <f t="shared" si="8"/>
        <v>0.84989548299261375</v>
      </c>
      <c r="I45" s="73">
        <f t="shared" si="8"/>
        <v>0.84503852766130727</v>
      </c>
      <c r="J45" s="73">
        <f t="shared" si="8"/>
        <v>0.83730106355449063</v>
      </c>
      <c r="K45" s="73">
        <f t="shared" si="8"/>
        <v>0.82702223509559913</v>
      </c>
      <c r="L45" s="73">
        <f t="shared" si="8"/>
        <v>0.81685766629186385</v>
      </c>
      <c r="M45" s="73">
        <f t="shared" si="8"/>
        <v>0.80358856692773184</v>
      </c>
      <c r="N45" s="73">
        <f t="shared" si="8"/>
        <v>0.7911880161402719</v>
      </c>
    </row>
    <row r="48" spans="1:15">
      <c r="A48" s="66" t="s">
        <v>174</v>
      </c>
      <c r="B48" s="66"/>
      <c r="C48" s="66"/>
      <c r="D48" s="66"/>
      <c r="E48" s="66"/>
      <c r="F48" s="66"/>
      <c r="G48" s="66"/>
      <c r="H48" s="66"/>
      <c r="I48" s="66"/>
      <c r="J48" s="66"/>
      <c r="K48" s="66"/>
      <c r="L48" s="66"/>
      <c r="M48" s="66"/>
      <c r="N48" s="66"/>
      <c r="O48" s="66"/>
    </row>
    <row r="49" spans="1:16" ht="5.25" customHeight="1" thickBot="1"/>
    <row r="50" spans="1:16" ht="11" thickBot="1">
      <c r="A50" s="3" t="s">
        <v>175</v>
      </c>
      <c r="C50" s="4" t="s">
        <v>29</v>
      </c>
      <c r="E50" s="4" t="s">
        <v>19</v>
      </c>
      <c r="F50" s="4" t="s">
        <v>20</v>
      </c>
      <c r="G50" s="4" t="s">
        <v>21</v>
      </c>
      <c r="H50" s="4" t="s">
        <v>22</v>
      </c>
      <c r="I50" s="4" t="s">
        <v>23</v>
      </c>
      <c r="J50" s="4" t="s">
        <v>24</v>
      </c>
      <c r="K50" s="4" t="s">
        <v>25</v>
      </c>
      <c r="L50" s="4" t="s">
        <v>26</v>
      </c>
      <c r="M50" s="4" t="s">
        <v>27</v>
      </c>
      <c r="N50" s="4" t="s">
        <v>28</v>
      </c>
    </row>
    <row r="51" spans="1:16" ht="11" thickBot="1">
      <c r="A51" s="5" t="s">
        <v>176</v>
      </c>
      <c r="C51" s="68">
        <f>'4. Financials - water services'!C$87+'4. Financials - water services'!C$89</f>
        <v>22425.320000000003</v>
      </c>
      <c r="E51" s="68">
        <f>'4. Financials - water services'!E$87+'4. Financials - water services'!E$89</f>
        <v>34071.72</v>
      </c>
      <c r="F51" s="68">
        <f>'4. Financials - water services'!F$87+'4. Financials - water services'!F$89</f>
        <v>45836.455559999995</v>
      </c>
      <c r="G51" s="68">
        <f>'4. Financials - water services'!G$87+'4. Financials - water services'!G$89</f>
        <v>62693.398359999999</v>
      </c>
      <c r="H51" s="68">
        <f>'4. Financials - water services'!H$87+'4. Financials - water services'!H$89</f>
        <v>77300.821365885087</v>
      </c>
      <c r="I51" s="68">
        <f>'4. Financials - water services'!I$87+'4. Financials - water services'!I$89</f>
        <v>92688.492845530753</v>
      </c>
      <c r="J51" s="68">
        <f>'4. Financials - water services'!J$87+'4. Financials - water services'!J$89</f>
        <v>102043.89594942673</v>
      </c>
      <c r="K51" s="68">
        <f>'4. Financials - water services'!K$87+'4. Financials - water services'!K$89</f>
        <v>107210.17498123934</v>
      </c>
      <c r="L51" s="68">
        <f>'4. Financials - water services'!L$87+'4. Financials - water services'!L$89</f>
        <v>111424.41562548556</v>
      </c>
      <c r="M51" s="68">
        <f>'4. Financials - water services'!M$87+'4. Financials - water services'!M$89</f>
        <v>111566.09289965853</v>
      </c>
      <c r="N51" s="68">
        <f>'4. Financials - water services'!N$87+'4. Financials - water services'!N$89</f>
        <v>112609.67175444379</v>
      </c>
    </row>
    <row r="52" spans="1:16" ht="11" thickBot="1">
      <c r="A52" s="5" t="s">
        <v>177</v>
      </c>
      <c r="C52" s="68">
        <f>-'4. Financials - water services'!C$80</f>
        <v>0</v>
      </c>
      <c r="E52" s="68">
        <f>-'4. Financials - water services'!E$80</f>
        <v>0.2000000000007276</v>
      </c>
      <c r="F52" s="68">
        <f>-'4. Financials - water services'!F$80</f>
        <v>0.19987999999830208</v>
      </c>
      <c r="G52" s="68">
        <f>-'4. Financials - water services'!G$80</f>
        <v>0.19973999999456282</v>
      </c>
      <c r="H52" s="68">
        <f>-'4. Financials - water services'!H$80</f>
        <v>0.19973999999456282</v>
      </c>
      <c r="I52" s="68">
        <f>-'4. Financials - water services'!I$80</f>
        <v>0.19973999999456282</v>
      </c>
      <c r="J52" s="68">
        <f>-'4. Financials - water services'!J$80</f>
        <v>0.19973999999456282</v>
      </c>
      <c r="K52" s="68">
        <f>-'4. Financials - water services'!K$80</f>
        <v>0.19973999999456282</v>
      </c>
      <c r="L52" s="68">
        <f>-'4. Financials - water services'!L$80</f>
        <v>0.19973999999456282</v>
      </c>
      <c r="M52" s="68">
        <f>-'4. Financials - water services'!M$80</f>
        <v>0.19973999999433545</v>
      </c>
      <c r="N52" s="68">
        <f>-'4. Financials - water services'!N$80</f>
        <v>0.19973999999660919</v>
      </c>
    </row>
    <row r="53" spans="1:16" ht="11" thickBot="1">
      <c r="A53" s="12" t="s">
        <v>175</v>
      </c>
      <c r="C53" s="70">
        <f>SUM(C51:C52)</f>
        <v>22425.320000000003</v>
      </c>
      <c r="E53" s="70">
        <f t="shared" ref="E53:N53" si="9">SUM(E51:E52)</f>
        <v>34071.919999999998</v>
      </c>
      <c r="F53" s="70">
        <f t="shared" si="9"/>
        <v>45836.655439999995</v>
      </c>
      <c r="G53" s="70">
        <f t="shared" si="9"/>
        <v>62693.598099999996</v>
      </c>
      <c r="H53" s="70">
        <f t="shared" si="9"/>
        <v>77301.021105885084</v>
      </c>
      <c r="I53" s="70">
        <f t="shared" si="9"/>
        <v>92688.692585530749</v>
      </c>
      <c r="J53" s="70">
        <f t="shared" si="9"/>
        <v>102044.09568942673</v>
      </c>
      <c r="K53" s="70">
        <f t="shared" si="9"/>
        <v>107210.37472123934</v>
      </c>
      <c r="L53" s="70">
        <f t="shared" si="9"/>
        <v>111424.61536548556</v>
      </c>
      <c r="M53" s="70">
        <f t="shared" si="9"/>
        <v>111566.29263965852</v>
      </c>
      <c r="N53" s="70">
        <f t="shared" si="9"/>
        <v>112609.87149444378</v>
      </c>
    </row>
    <row r="54" spans="1:16" ht="5.25" customHeight="1" thickBot="1"/>
    <row r="55" spans="1:16" ht="11" thickBot="1">
      <c r="A55" s="3" t="s">
        <v>178</v>
      </c>
      <c r="C55" s="4" t="s">
        <v>29</v>
      </c>
      <c r="E55" s="4" t="s">
        <v>19</v>
      </c>
      <c r="F55" s="4" t="s">
        <v>20</v>
      </c>
      <c r="G55" s="4" t="s">
        <v>21</v>
      </c>
      <c r="H55" s="4" t="s">
        <v>22</v>
      </c>
      <c r="I55" s="4" t="s">
        <v>23</v>
      </c>
      <c r="J55" s="4" t="s">
        <v>24</v>
      </c>
      <c r="K55" s="4" t="s">
        <v>25</v>
      </c>
      <c r="L55" s="4" t="s">
        <v>26</v>
      </c>
      <c r="M55" s="4" t="s">
        <v>27</v>
      </c>
      <c r="N55" s="4" t="s">
        <v>28</v>
      </c>
    </row>
    <row r="56" spans="1:16" ht="11" thickBot="1">
      <c r="A56" s="5" t="s">
        <v>179</v>
      </c>
      <c r="C56" s="68">
        <f>C53</f>
        <v>22425.320000000003</v>
      </c>
      <c r="E56" s="68">
        <f t="shared" ref="E56:N56" si="10">E53</f>
        <v>34071.919999999998</v>
      </c>
      <c r="F56" s="68">
        <f t="shared" si="10"/>
        <v>45836.655439999995</v>
      </c>
      <c r="G56" s="68">
        <f t="shared" si="10"/>
        <v>62693.598099999996</v>
      </c>
      <c r="H56" s="68">
        <f t="shared" si="10"/>
        <v>77301.021105885084</v>
      </c>
      <c r="I56" s="68">
        <f t="shared" si="10"/>
        <v>92688.692585530749</v>
      </c>
      <c r="J56" s="68">
        <f t="shared" si="10"/>
        <v>102044.09568942673</v>
      </c>
      <c r="K56" s="68">
        <f t="shared" si="10"/>
        <v>107210.37472123934</v>
      </c>
      <c r="L56" s="68">
        <f t="shared" si="10"/>
        <v>111424.61536548556</v>
      </c>
      <c r="M56" s="68">
        <f t="shared" si="10"/>
        <v>111566.29263965852</v>
      </c>
      <c r="N56" s="68">
        <f t="shared" si="10"/>
        <v>112609.87149444378</v>
      </c>
    </row>
    <row r="57" spans="1:16" ht="11" thickBot="1">
      <c r="A57" s="5" t="s">
        <v>180</v>
      </c>
      <c r="C57" s="68">
        <f>'4. Financials - water services'!C$40</f>
        <v>9361.4384776335919</v>
      </c>
      <c r="E57" s="68">
        <f>'4. Financials - water services'!E$40</f>
        <v>11975</v>
      </c>
      <c r="F57" s="68">
        <f>'4. Financials - water services'!F$40</f>
        <v>12580.137140000001</v>
      </c>
      <c r="G57" s="68">
        <f>'4. Financials - water services'!G$40</f>
        <v>12917.95499</v>
      </c>
      <c r="H57" s="68">
        <f>'4. Financials - water services'!H$40</f>
        <v>15196.360306275144</v>
      </c>
      <c r="I57" s="68">
        <f>'4. Financials - water services'!I$40</f>
        <v>17448.947272114103</v>
      </c>
      <c r="J57" s="68">
        <f>'4. Financials - water services'!J$40</f>
        <v>20030.787725315735</v>
      </c>
      <c r="K57" s="68">
        <f>'4. Financials - water services'!K$40</f>
        <v>22996.297552498498</v>
      </c>
      <c r="L57" s="68">
        <f>'4. Financials - water services'!L$40</f>
        <v>26396.339777158479</v>
      </c>
      <c r="M57" s="68">
        <f>'4. Financials - water services'!M$40</f>
        <v>25796.169621104127</v>
      </c>
      <c r="N57" s="68">
        <f>'4. Financials - water services'!N$40</f>
        <v>26746.073746585851</v>
      </c>
      <c r="P57" s="79"/>
    </row>
    <row r="58" spans="1:16" ht="11" thickBot="1">
      <c r="A58" s="12" t="s">
        <v>178</v>
      </c>
      <c r="C58" s="80">
        <f>C56/C57</f>
        <v>2.3954993726208551</v>
      </c>
      <c r="D58" s="81"/>
      <c r="E58" s="80">
        <f t="shared" ref="E58:N58" si="11">E56/E57</f>
        <v>2.845254279749478</v>
      </c>
      <c r="F58" s="80">
        <f t="shared" si="11"/>
        <v>3.643573589850388</v>
      </c>
      <c r="G58" s="80">
        <f t="shared" si="11"/>
        <v>4.8532138522337425</v>
      </c>
      <c r="H58" s="80">
        <f t="shared" si="11"/>
        <v>5.0868115488130803</v>
      </c>
      <c r="I58" s="80">
        <f t="shared" si="11"/>
        <v>5.3119933907795369</v>
      </c>
      <c r="J58" s="80">
        <f t="shared" si="11"/>
        <v>5.094362592663253</v>
      </c>
      <c r="K58" s="80">
        <f t="shared" si="11"/>
        <v>4.6620711215136961</v>
      </c>
      <c r="L58" s="80">
        <f t="shared" si="11"/>
        <v>4.2212146193808477</v>
      </c>
      <c r="M58" s="80">
        <f t="shared" si="11"/>
        <v>4.3249170042820984</v>
      </c>
      <c r="N58" s="80">
        <f t="shared" si="11"/>
        <v>4.2103327973070623</v>
      </c>
      <c r="P58" s="79"/>
    </row>
    <row r="59" spans="1:16" ht="5.25" customHeight="1" thickBot="1"/>
    <row r="60" spans="1:16" ht="11" thickBot="1">
      <c r="A60" s="3" t="s">
        <v>181</v>
      </c>
      <c r="C60" s="4" t="s">
        <v>29</v>
      </c>
      <c r="E60" s="4" t="s">
        <v>19</v>
      </c>
      <c r="F60" s="4" t="s">
        <v>20</v>
      </c>
      <c r="G60" s="4" t="s">
        <v>21</v>
      </c>
      <c r="H60" s="4" t="s">
        <v>22</v>
      </c>
      <c r="I60" s="4" t="s">
        <v>23</v>
      </c>
      <c r="J60" s="4" t="s">
        <v>24</v>
      </c>
      <c r="K60" s="4" t="s">
        <v>25</v>
      </c>
      <c r="L60" s="4" t="s">
        <v>26</v>
      </c>
      <c r="M60" s="4" t="s">
        <v>27</v>
      </c>
      <c r="N60" s="4" t="s">
        <v>28</v>
      </c>
    </row>
    <row r="61" spans="1:16" ht="11" thickBot="1">
      <c r="A61" s="5" t="s">
        <v>180</v>
      </c>
      <c r="C61" s="68">
        <f>'4. Financials - water services'!C$40</f>
        <v>9361.4384776335919</v>
      </c>
      <c r="E61" s="68">
        <f>'4. Financials - water services'!E$40</f>
        <v>11975</v>
      </c>
      <c r="F61" s="68">
        <f>'4. Financials - water services'!F$40</f>
        <v>12580.137140000001</v>
      </c>
      <c r="G61" s="68">
        <f>'4. Financials - water services'!G$40</f>
        <v>12917.95499</v>
      </c>
      <c r="H61" s="68">
        <f>'4. Financials - water services'!H$40</f>
        <v>15196.360306275144</v>
      </c>
      <c r="I61" s="68">
        <f>'4. Financials - water services'!I$40</f>
        <v>17448.947272114103</v>
      </c>
      <c r="J61" s="68">
        <f>'4. Financials - water services'!J$40</f>
        <v>20030.787725315735</v>
      </c>
      <c r="K61" s="68">
        <f>'4. Financials - water services'!K$40</f>
        <v>22996.297552498498</v>
      </c>
      <c r="L61" s="68">
        <f>'4. Financials - water services'!L$40</f>
        <v>26396.339777158479</v>
      </c>
      <c r="M61" s="68">
        <f>'4. Financials - water services'!M$40</f>
        <v>25796.169621104127</v>
      </c>
      <c r="N61" s="68">
        <f>'4. Financials - water services'!N$40</f>
        <v>26746.073746585851</v>
      </c>
    </row>
    <row r="62" spans="1:16" ht="11" thickBot="1">
      <c r="A62" s="5" t="s">
        <v>182</v>
      </c>
      <c r="C62" s="82">
        <f>Input!$F$11</f>
        <v>5</v>
      </c>
      <c r="D62" s="81"/>
      <c r="E62" s="82">
        <f>Input!$F$11</f>
        <v>5</v>
      </c>
      <c r="F62" s="82">
        <f>Input!$F$11</f>
        <v>5</v>
      </c>
      <c r="G62" s="82">
        <f>Input!$F$11</f>
        <v>5</v>
      </c>
      <c r="H62" s="82">
        <f>Input!$F$11</f>
        <v>5</v>
      </c>
      <c r="I62" s="82">
        <f>Input!$F$11</f>
        <v>5</v>
      </c>
      <c r="J62" s="82">
        <f>Input!$F$11</f>
        <v>5</v>
      </c>
      <c r="K62" s="82">
        <f>Input!$F$11</f>
        <v>5</v>
      </c>
      <c r="L62" s="82">
        <f>Input!$F$11</f>
        <v>5</v>
      </c>
      <c r="M62" s="82">
        <f>Input!$F$11</f>
        <v>5</v>
      </c>
      <c r="N62" s="82">
        <f>Input!$F$11</f>
        <v>5</v>
      </c>
    </row>
    <row r="63" spans="1:16" ht="11" thickBot="1">
      <c r="A63" s="12" t="s">
        <v>183</v>
      </c>
      <c r="C63" s="70">
        <f>C61*C62</f>
        <v>46807.192388167961</v>
      </c>
      <c r="E63" s="70">
        <f t="shared" ref="E63:N63" si="12">E61*E62</f>
        <v>59875</v>
      </c>
      <c r="F63" s="70">
        <f t="shared" si="12"/>
        <v>62900.685700000002</v>
      </c>
      <c r="G63" s="70">
        <f t="shared" si="12"/>
        <v>64589.774949999999</v>
      </c>
      <c r="H63" s="70">
        <f t="shared" si="12"/>
        <v>75981.801531375721</v>
      </c>
      <c r="I63" s="70">
        <f t="shared" si="12"/>
        <v>87244.736360570518</v>
      </c>
      <c r="J63" s="70">
        <f t="shared" si="12"/>
        <v>100153.93862657867</v>
      </c>
      <c r="K63" s="70">
        <f t="shared" si="12"/>
        <v>114981.48776249248</v>
      </c>
      <c r="L63" s="70">
        <f t="shared" si="12"/>
        <v>131981.6988857924</v>
      </c>
      <c r="M63" s="70">
        <f t="shared" si="12"/>
        <v>128980.84810552064</v>
      </c>
      <c r="N63" s="70">
        <f t="shared" si="12"/>
        <v>133730.36873292926</v>
      </c>
    </row>
    <row r="64" spans="1:16" ht="11" thickBot="1">
      <c r="A64" s="5" t="s">
        <v>184</v>
      </c>
      <c r="C64" s="68">
        <f>C53</f>
        <v>22425.320000000003</v>
      </c>
      <c r="E64" s="68">
        <f t="shared" ref="E64:N64" si="13">E53</f>
        <v>34071.919999999998</v>
      </c>
      <c r="F64" s="68">
        <f t="shared" si="13"/>
        <v>45836.655439999995</v>
      </c>
      <c r="G64" s="68">
        <f t="shared" si="13"/>
        <v>62693.598099999996</v>
      </c>
      <c r="H64" s="68">
        <f t="shared" si="13"/>
        <v>77301.021105885084</v>
      </c>
      <c r="I64" s="68">
        <f t="shared" si="13"/>
        <v>92688.692585530749</v>
      </c>
      <c r="J64" s="68">
        <f t="shared" si="13"/>
        <v>102044.09568942673</v>
      </c>
      <c r="K64" s="68">
        <f t="shared" si="13"/>
        <v>107210.37472123934</v>
      </c>
      <c r="L64" s="68">
        <f t="shared" si="13"/>
        <v>111424.61536548556</v>
      </c>
      <c r="M64" s="68">
        <f t="shared" si="13"/>
        <v>111566.29263965852</v>
      </c>
      <c r="N64" s="68">
        <f t="shared" si="13"/>
        <v>112609.87149444378</v>
      </c>
    </row>
    <row r="65" spans="1:15" ht="11" thickBot="1">
      <c r="A65" s="12" t="s">
        <v>185</v>
      </c>
      <c r="C65" s="70">
        <f>C63-C64</f>
        <v>24381.872388167958</v>
      </c>
      <c r="E65" s="70">
        <f t="shared" ref="E65:N65" si="14">E63-E64</f>
        <v>25803.08</v>
      </c>
      <c r="F65" s="70">
        <f t="shared" si="14"/>
        <v>17064.030260000007</v>
      </c>
      <c r="G65" s="70">
        <f t="shared" si="14"/>
        <v>1896.1768500000035</v>
      </c>
      <c r="H65" s="70">
        <f t="shared" si="14"/>
        <v>-1319.2195745093632</v>
      </c>
      <c r="I65" s="70">
        <f t="shared" si="14"/>
        <v>-5443.9562249602313</v>
      </c>
      <c r="J65" s="70">
        <f t="shared" si="14"/>
        <v>-1890.1570628480549</v>
      </c>
      <c r="K65" s="70">
        <f t="shared" si="14"/>
        <v>7771.1130412531493</v>
      </c>
      <c r="L65" s="70">
        <f t="shared" si="14"/>
        <v>20557.083520306842</v>
      </c>
      <c r="M65" s="70">
        <f t="shared" si="14"/>
        <v>17414.555465862111</v>
      </c>
      <c r="N65" s="70">
        <f t="shared" si="14"/>
        <v>21120.497238485477</v>
      </c>
    </row>
    <row r="66" spans="1:15" ht="5.25" customHeight="1">
      <c r="E66" s="83"/>
      <c r="F66" s="83"/>
      <c r="G66" s="83"/>
      <c r="H66" s="83"/>
      <c r="I66" s="83"/>
      <c r="J66" s="83"/>
      <c r="K66" s="83"/>
      <c r="L66" s="83"/>
      <c r="M66" s="83"/>
      <c r="N66" s="83"/>
    </row>
    <row r="67" spans="1:15" ht="11" thickBot="1">
      <c r="A67" s="84" t="s">
        <v>135</v>
      </c>
      <c r="E67" s="83"/>
      <c r="F67" s="83"/>
      <c r="G67" s="83"/>
      <c r="H67" s="83"/>
      <c r="I67" s="83"/>
      <c r="J67" s="83"/>
      <c r="K67" s="83"/>
      <c r="L67" s="83"/>
      <c r="M67" s="83"/>
      <c r="N67" s="83"/>
    </row>
    <row r="68" spans="1:15" ht="11" thickBot="1">
      <c r="A68" s="5" t="s">
        <v>186</v>
      </c>
      <c r="C68" s="68">
        <f>('4. Financials - water services'!C8+'4. Financials - water services'!C20+'4. Financials - water services'!C23+'4. Financials - water services'!C24+'4. Financials - water services'!C21*Input!$F$14)</f>
        <v>9720.5466126335923</v>
      </c>
      <c r="E68" s="68">
        <f>('4. Financials - water services'!E8+'4. Financials - water services'!E20+'4. Financials - water services'!E23+'4. Financials - water services'!E24+'4. Financials - water services'!E21*Input!$F$14)</f>
        <v>12182.9</v>
      </c>
      <c r="F68" s="68">
        <f>('4. Financials - water services'!F8+'4. Financials - water services'!F20+'4. Financials - water services'!F23+'4. Financials - water services'!F24+'4. Financials - water services'!F21*Input!$F$14)</f>
        <v>12780.091640000001</v>
      </c>
      <c r="G68" s="68">
        <f>('4. Financials - water services'!G8+'4. Financials - water services'!G20+'4. Financials - water services'!G23+'4. Financials - water services'!G24+'4. Financials - water services'!G21*Input!$F$14)</f>
        <v>13117.90949</v>
      </c>
      <c r="H68" s="68">
        <f>('4. Financials - water services'!H8+'4. Financials - water services'!H20+'4. Financials - water services'!H23+'4. Financials - water services'!H24+'4. Financials - water services'!H21*Input!$F$14)</f>
        <v>15396.314806275144</v>
      </c>
      <c r="I68" s="68">
        <f>('4. Financials - water services'!I8+'4. Financials - water services'!I20+'4. Financials - water services'!I23+'4. Financials - water services'!I24+'4. Financials - water services'!I21*Input!$F$14)</f>
        <v>17648.901772114103</v>
      </c>
      <c r="J68" s="68">
        <f>('4. Financials - water services'!J8+'4. Financials - water services'!J20+'4. Financials - water services'!J23+'4. Financials - water services'!J24+'4. Financials - water services'!J21*Input!$F$14)</f>
        <v>20230.742225315735</v>
      </c>
      <c r="K68" s="68">
        <f>('4. Financials - water services'!K8+'4. Financials - water services'!K20+'4. Financials - water services'!K23+'4. Financials - water services'!K24+'4. Financials - water services'!K21*Input!$F$14)</f>
        <v>23196.252052498498</v>
      </c>
      <c r="L68" s="68">
        <f>('4. Financials - water services'!L8+'4. Financials - water services'!L20+'4. Financials - water services'!L23+'4. Financials - water services'!L24+'4. Financials - water services'!L21*Input!$F$14)</f>
        <v>26596.294277158479</v>
      </c>
      <c r="M68" s="68">
        <f>('4. Financials - water services'!M8+'4. Financials - water services'!M20+'4. Financials - water services'!M23+'4. Financials - water services'!M24+'4. Financials - water services'!M21*Input!$F$14)</f>
        <v>25996.124121104127</v>
      </c>
      <c r="N68" s="68">
        <f>('4. Financials - water services'!N8+'4. Financials - water services'!N20+'4. Financials - water services'!N23+'4. Financials - water services'!N24+'4. Financials - water services'!N21*Input!$F$14)</f>
        <v>26946.028246585851</v>
      </c>
      <c r="O68" s="79"/>
    </row>
    <row r="69" spans="1:15" ht="11" thickBot="1">
      <c r="A69" s="5" t="s">
        <v>187</v>
      </c>
      <c r="C69" s="68">
        <f>-SUM('4. Financials - water services'!C11:C14)</f>
        <v>-7106.1977700000007</v>
      </c>
      <c r="E69" s="68">
        <f>-SUM('4. Financials - water services'!E11:E14)</f>
        <v>-10722.800000000001</v>
      </c>
      <c r="F69" s="68">
        <f>-SUM('4. Financials - water services'!F11:F14)</f>
        <v>-11256.619579999999</v>
      </c>
      <c r="G69" s="68">
        <f>-SUM('4. Financials - water services'!G11:G14)</f>
        <v>-10467.103650000001</v>
      </c>
      <c r="H69" s="68">
        <f>-SUM('4. Financials - water services'!H11:H14)</f>
        <v>-12280.073652660236</v>
      </c>
      <c r="I69" s="68">
        <f>-SUM('4. Financials - water services'!I11:I14)</f>
        <v>-14793.576373259761</v>
      </c>
      <c r="J69" s="68">
        <f>-SUM('4. Financials - water services'!J11:J14)</f>
        <v>-14656.242565665059</v>
      </c>
      <c r="K69" s="68">
        <f>-SUM('4. Financials - water services'!K11:K14)</f>
        <v>-14348.926367792572</v>
      </c>
      <c r="L69" s="68">
        <f>-SUM('4. Financials - water services'!L11:L14)</f>
        <v>-15453.850929110571</v>
      </c>
      <c r="M69" s="68">
        <f>-SUM('4. Financials - water services'!M11:M14)</f>
        <v>-14839.525472081092</v>
      </c>
      <c r="N69" s="68">
        <f>-SUM('4. Financials - water services'!N11:N14)</f>
        <v>-15685.092628307797</v>
      </c>
      <c r="O69" s="79"/>
    </row>
    <row r="70" spans="1:15" ht="11" thickBot="1">
      <c r="A70" s="12" t="s">
        <v>188</v>
      </c>
      <c r="C70" s="70">
        <f>C68+C69</f>
        <v>2614.3488426335916</v>
      </c>
      <c r="E70" s="70">
        <f t="shared" ref="E70:N70" si="15">E68+E69</f>
        <v>1460.0999999999985</v>
      </c>
      <c r="F70" s="70">
        <f t="shared" si="15"/>
        <v>1523.4720600000019</v>
      </c>
      <c r="G70" s="70">
        <f t="shared" si="15"/>
        <v>2650.8058399999991</v>
      </c>
      <c r="H70" s="70">
        <f t="shared" si="15"/>
        <v>3116.2411536149084</v>
      </c>
      <c r="I70" s="70">
        <f t="shared" si="15"/>
        <v>2855.325398854342</v>
      </c>
      <c r="J70" s="70">
        <f t="shared" si="15"/>
        <v>5574.4996596506753</v>
      </c>
      <c r="K70" s="70">
        <f t="shared" si="15"/>
        <v>8847.3256847059256</v>
      </c>
      <c r="L70" s="70">
        <f t="shared" si="15"/>
        <v>11142.443348047907</v>
      </c>
      <c r="M70" s="70">
        <f t="shared" si="15"/>
        <v>11156.598649023035</v>
      </c>
      <c r="N70" s="70">
        <f t="shared" si="15"/>
        <v>11260.935618278054</v>
      </c>
    </row>
    <row r="71" spans="1:15" ht="5.25" customHeight="1" thickBot="1">
      <c r="A71" s="84"/>
      <c r="E71" s="83"/>
      <c r="F71" s="83"/>
      <c r="G71" s="83"/>
      <c r="H71" s="83"/>
      <c r="I71" s="83"/>
      <c r="J71" s="83"/>
      <c r="K71" s="83"/>
      <c r="L71" s="83"/>
      <c r="M71" s="83"/>
      <c r="N71" s="83"/>
    </row>
    <row r="72" spans="1:15" ht="11" thickBot="1">
      <c r="A72" s="3" t="s">
        <v>135</v>
      </c>
      <c r="C72" s="4" t="s">
        <v>29</v>
      </c>
      <c r="E72" s="85" t="s">
        <v>19</v>
      </c>
      <c r="F72" s="85" t="s">
        <v>20</v>
      </c>
      <c r="G72" s="85" t="s">
        <v>21</v>
      </c>
      <c r="H72" s="85" t="s">
        <v>22</v>
      </c>
      <c r="I72" s="85" t="s">
        <v>23</v>
      </c>
      <c r="J72" s="85" t="s">
        <v>24</v>
      </c>
      <c r="K72" s="85" t="s">
        <v>25</v>
      </c>
      <c r="L72" s="85" t="s">
        <v>26</v>
      </c>
      <c r="M72" s="85" t="s">
        <v>27</v>
      </c>
      <c r="N72" s="85" t="s">
        <v>28</v>
      </c>
    </row>
    <row r="73" spans="1:15" ht="11" thickBot="1">
      <c r="A73" s="5" t="s">
        <v>184</v>
      </c>
      <c r="C73" s="68">
        <f>C53</f>
        <v>22425.320000000003</v>
      </c>
      <c r="E73" s="68">
        <f t="shared" ref="E73:N73" si="16">E53</f>
        <v>34071.919999999998</v>
      </c>
      <c r="F73" s="68">
        <f t="shared" si="16"/>
        <v>45836.655439999995</v>
      </c>
      <c r="G73" s="68">
        <f t="shared" si="16"/>
        <v>62693.598099999996</v>
      </c>
      <c r="H73" s="68">
        <f t="shared" si="16"/>
        <v>77301.021105885084</v>
      </c>
      <c r="I73" s="68">
        <f t="shared" si="16"/>
        <v>92688.692585530749</v>
      </c>
      <c r="J73" s="68">
        <f t="shared" si="16"/>
        <v>102044.09568942673</v>
      </c>
      <c r="K73" s="68">
        <f t="shared" si="16"/>
        <v>107210.37472123934</v>
      </c>
      <c r="L73" s="68">
        <f t="shared" si="16"/>
        <v>111424.61536548556</v>
      </c>
      <c r="M73" s="68">
        <f t="shared" si="16"/>
        <v>111566.29263965852</v>
      </c>
      <c r="N73" s="68">
        <f t="shared" si="16"/>
        <v>112609.87149444378</v>
      </c>
    </row>
    <row r="74" spans="1:15" ht="11" thickBot="1">
      <c r="A74" s="5" t="s">
        <v>189</v>
      </c>
      <c r="C74" s="68">
        <f>C$70</f>
        <v>2614.3488426335916</v>
      </c>
      <c r="E74" s="68">
        <f t="shared" ref="E74:N74" si="17">E$70</f>
        <v>1460.0999999999985</v>
      </c>
      <c r="F74" s="68">
        <f t="shared" si="17"/>
        <v>1523.4720600000019</v>
      </c>
      <c r="G74" s="68">
        <f t="shared" si="17"/>
        <v>2650.8058399999991</v>
      </c>
      <c r="H74" s="68">
        <f t="shared" si="17"/>
        <v>3116.2411536149084</v>
      </c>
      <c r="I74" s="68">
        <f t="shared" si="17"/>
        <v>2855.325398854342</v>
      </c>
      <c r="J74" s="68">
        <f t="shared" si="17"/>
        <v>5574.4996596506753</v>
      </c>
      <c r="K74" s="68">
        <f t="shared" si="17"/>
        <v>8847.3256847059256</v>
      </c>
      <c r="L74" s="68">
        <f t="shared" si="17"/>
        <v>11142.443348047907</v>
      </c>
      <c r="M74" s="68">
        <f t="shared" si="17"/>
        <v>11156.598649023035</v>
      </c>
      <c r="N74" s="68">
        <f t="shared" si="17"/>
        <v>11260.935618278054</v>
      </c>
    </row>
    <row r="75" spans="1:15" ht="11" thickBot="1">
      <c r="A75" s="12" t="s">
        <v>190</v>
      </c>
      <c r="C75" s="73">
        <f>C74/C73</f>
        <v>0.11658022461367737</v>
      </c>
      <c r="D75" s="78"/>
      <c r="E75" s="73">
        <f t="shared" ref="E75:N75" si="18">E74/E73</f>
        <v>4.2853469954144019E-2</v>
      </c>
      <c r="F75" s="73">
        <f t="shared" si="18"/>
        <v>3.3236981306243446E-2</v>
      </c>
      <c r="G75" s="73">
        <f t="shared" si="18"/>
        <v>4.2281922243030415E-2</v>
      </c>
      <c r="H75" s="73">
        <f t="shared" si="18"/>
        <v>4.0313065843546311E-2</v>
      </c>
      <c r="I75" s="73">
        <f t="shared" si="18"/>
        <v>3.0805541854196733E-2</v>
      </c>
      <c r="J75" s="73">
        <f t="shared" si="18"/>
        <v>5.4628341032260976E-2</v>
      </c>
      <c r="K75" s="73">
        <f t="shared" si="18"/>
        <v>8.2523036671685007E-2</v>
      </c>
      <c r="L75" s="73">
        <f t="shared" si="18"/>
        <v>9.9999836764070593E-2</v>
      </c>
      <c r="M75" s="73">
        <f t="shared" si="18"/>
        <v>9.9999725589673252E-2</v>
      </c>
      <c r="N75" s="73">
        <f t="shared" si="18"/>
        <v>9.9999542392104346E-2</v>
      </c>
    </row>
    <row r="76" spans="1:15" ht="6.75" customHeight="1" thickBot="1"/>
    <row r="77" spans="1:15" ht="11" thickBot="1">
      <c r="A77" s="3" t="s">
        <v>191</v>
      </c>
      <c r="C77" s="4" t="s">
        <v>29</v>
      </c>
      <c r="E77" s="4" t="s">
        <v>19</v>
      </c>
      <c r="F77" s="4" t="s">
        <v>20</v>
      </c>
      <c r="G77" s="4" t="s">
        <v>21</v>
      </c>
      <c r="H77" s="4" t="s">
        <v>22</v>
      </c>
      <c r="I77" s="4" t="s">
        <v>23</v>
      </c>
      <c r="J77" s="4" t="s">
        <v>24</v>
      </c>
      <c r="K77" s="4" t="s">
        <v>25</v>
      </c>
      <c r="L77" s="4" t="s">
        <v>26</v>
      </c>
      <c r="M77" s="4" t="s">
        <v>27</v>
      </c>
      <c r="N77" s="4" t="s">
        <v>28</v>
      </c>
    </row>
    <row r="78" spans="1:15" ht="11" thickBot="1">
      <c r="A78" s="5" t="s">
        <v>189</v>
      </c>
      <c r="C78" s="68">
        <f>C74</f>
        <v>2614.3488426335916</v>
      </c>
      <c r="E78" s="68">
        <f>E74</f>
        <v>1460.0999999999985</v>
      </c>
      <c r="F78" s="68">
        <f t="shared" ref="F78:N78" si="19">F74</f>
        <v>1523.4720600000019</v>
      </c>
      <c r="G78" s="68">
        <f t="shared" si="19"/>
        <v>2650.8058399999991</v>
      </c>
      <c r="H78" s="68">
        <f t="shared" si="19"/>
        <v>3116.2411536149084</v>
      </c>
      <c r="I78" s="68">
        <f t="shared" si="19"/>
        <v>2855.325398854342</v>
      </c>
      <c r="J78" s="68">
        <f t="shared" si="19"/>
        <v>5574.4996596506753</v>
      </c>
      <c r="K78" s="68">
        <f t="shared" si="19"/>
        <v>8847.3256847059256</v>
      </c>
      <c r="L78" s="68">
        <f t="shared" si="19"/>
        <v>11142.443348047907</v>
      </c>
      <c r="M78" s="68">
        <f t="shared" si="19"/>
        <v>11156.598649023035</v>
      </c>
      <c r="N78" s="68">
        <f t="shared" si="19"/>
        <v>11260.935618278054</v>
      </c>
    </row>
    <row r="79" spans="1:15" ht="11" thickBot="1">
      <c r="A79" s="5" t="s">
        <v>192</v>
      </c>
      <c r="C79" s="68">
        <f>'4. Financials - water services'!C12</f>
        <v>673.51027999999997</v>
      </c>
      <c r="E79" s="68">
        <f>'4. Financials - water services'!E12</f>
        <v>951.2</v>
      </c>
      <c r="F79" s="68">
        <f>'4. Financials - water services'!F12</f>
        <v>1529.97345</v>
      </c>
      <c r="G79" s="68">
        <f>'4. Financials - water services'!G12</f>
        <v>2235.6697300000001</v>
      </c>
      <c r="H79" s="68">
        <f>'4. Financials - water services'!H12</f>
        <v>4154.2323205597595</v>
      </c>
      <c r="I79" s="68">
        <f>'4. Financials - water services'!I12</f>
        <v>5055.6367328567703</v>
      </c>
      <c r="J79" s="68">
        <f>'4. Financials - water services'!J12</f>
        <v>5814.0986302414794</v>
      </c>
      <c r="K79" s="68">
        <f>'4. Financials - water services'!K12</f>
        <v>6281.3180280776523</v>
      </c>
      <c r="L79" s="68">
        <f>'4. Financials - water services'!L12</f>
        <v>6596.7847100016979</v>
      </c>
      <c r="M79" s="68">
        <f>'4. Financials - water services'!M12</f>
        <v>6752.5349468488575</v>
      </c>
      <c r="N79" s="68">
        <f>'4. Financials - water services'!N12</f>
        <v>6811.8158357505545</v>
      </c>
    </row>
    <row r="80" spans="1:15" ht="11" thickBot="1">
      <c r="A80" s="12" t="s">
        <v>191</v>
      </c>
      <c r="C80" s="86">
        <f>(C78+C79)/C79</f>
        <v>4.8816762271744265</v>
      </c>
      <c r="D80" s="87"/>
      <c r="E80" s="86">
        <f>(E78+E79)/E79</f>
        <v>2.5350084104289299</v>
      </c>
      <c r="F80" s="86">
        <f t="shared" ref="F80:N80" si="20">(F78+F79)/F79</f>
        <v>1.9957506517515071</v>
      </c>
      <c r="G80" s="86">
        <f t="shared" si="20"/>
        <v>2.1856875836485914</v>
      </c>
      <c r="H80" s="86">
        <f t="shared" si="20"/>
        <v>1.7501364664157764</v>
      </c>
      <c r="I80" s="86">
        <f t="shared" si="20"/>
        <v>1.5647805706247595</v>
      </c>
      <c r="J80" s="86">
        <f t="shared" si="20"/>
        <v>1.9587900058412229</v>
      </c>
      <c r="K80" s="86">
        <f t="shared" si="20"/>
        <v>2.4085142075529618</v>
      </c>
      <c r="L80" s="86">
        <f t="shared" si="20"/>
        <v>2.689071849071309</v>
      </c>
      <c r="M80" s="86">
        <f t="shared" si="20"/>
        <v>2.6522089462460881</v>
      </c>
      <c r="N80" s="86">
        <f t="shared" si="20"/>
        <v>2.6531473970827451</v>
      </c>
    </row>
  </sheetData>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1A71E-49AE-4E51-B8E4-273A901FE2B9}">
  <sheetPr codeName="Sheet28">
    <pageSetUpPr fitToPage="1"/>
  </sheetPr>
  <dimension ref="A1:K109"/>
  <sheetViews>
    <sheetView topLeftCell="A42" zoomScale="80" zoomScaleNormal="80" workbookViewId="0">
      <selection activeCell="N116" sqref="N116"/>
    </sheetView>
  </sheetViews>
  <sheetFormatPr defaultColWidth="6.6328125" defaultRowHeight="10.5"/>
  <cols>
    <col min="1" max="1" width="57.08984375" style="1" customWidth="1"/>
    <col min="2" max="11" width="12" style="1" customWidth="1"/>
    <col min="12" max="16384" width="6.6328125" style="1"/>
  </cols>
  <sheetData>
    <row r="1" spans="1:11" ht="5.25" customHeight="1" thickBot="1">
      <c r="A1" s="88"/>
    </row>
    <row r="2" spans="1:11" ht="11" thickBot="1">
      <c r="A2" s="89" t="s">
        <v>193</v>
      </c>
      <c r="B2" s="90" t="s">
        <v>19</v>
      </c>
      <c r="C2" s="90" t="s">
        <v>20</v>
      </c>
      <c r="D2" s="90" t="s">
        <v>21</v>
      </c>
      <c r="E2" s="90" t="s">
        <v>22</v>
      </c>
      <c r="F2" s="90" t="s">
        <v>23</v>
      </c>
      <c r="G2" s="90" t="s">
        <v>24</v>
      </c>
      <c r="H2" s="90" t="s">
        <v>25</v>
      </c>
      <c r="I2" s="90" t="s">
        <v>26</v>
      </c>
      <c r="J2" s="90" t="s">
        <v>27</v>
      </c>
      <c r="K2" s="91" t="s">
        <v>28</v>
      </c>
    </row>
    <row r="3" spans="1:11" ht="11" thickBot="1">
      <c r="A3" s="92" t="s">
        <v>2</v>
      </c>
      <c r="B3" s="93"/>
      <c r="C3" s="93"/>
      <c r="D3" s="93"/>
      <c r="E3" s="93"/>
      <c r="F3" s="93"/>
      <c r="G3" s="93"/>
      <c r="H3" s="93"/>
      <c r="I3" s="93"/>
      <c r="J3" s="93"/>
      <c r="K3" s="93"/>
    </row>
    <row r="4" spans="1:11" ht="11" thickBot="1">
      <c r="A4" s="94" t="s">
        <v>194</v>
      </c>
      <c r="B4" s="95">
        <f>'5. Financials - drinking water'!E$28</f>
        <v>0</v>
      </c>
      <c r="C4" s="95">
        <f>'5. Financials - drinking water'!F$28</f>
        <v>0</v>
      </c>
      <c r="D4" s="95">
        <f>'5. Financials - drinking water'!G$28</f>
        <v>0</v>
      </c>
      <c r="E4" s="95">
        <f>'5. Financials - drinking water'!H$28</f>
        <v>0</v>
      </c>
      <c r="F4" s="95">
        <f>'5. Financials - drinking water'!I$28</f>
        <v>0</v>
      </c>
      <c r="G4" s="95">
        <f>'5. Financials - drinking water'!J$28</f>
        <v>0</v>
      </c>
      <c r="H4" s="95">
        <f>'5. Financials - drinking water'!K$28</f>
        <v>0</v>
      </c>
      <c r="I4" s="95">
        <f>'5. Financials - drinking water'!L$28</f>
        <v>0</v>
      </c>
      <c r="J4" s="95">
        <f>'5. Financials - drinking water'!M$28</f>
        <v>0</v>
      </c>
      <c r="K4" s="95">
        <f>'5. Financials - drinking water'!N$28</f>
        <v>0</v>
      </c>
    </row>
    <row r="5" spans="1:11" ht="11" thickBot="1">
      <c r="A5" s="94" t="s">
        <v>195</v>
      </c>
      <c r="B5" s="95">
        <f>'5. Financials - drinking water'!E$29</f>
        <v>4397.2</v>
      </c>
      <c r="C5" s="95">
        <f>'5. Financials - drinking water'!F$29</f>
        <v>3828.8960000000002</v>
      </c>
      <c r="D5" s="95">
        <f>'5. Financials - drinking water'!G$29</f>
        <v>2735.7179999999998</v>
      </c>
      <c r="E5" s="95">
        <f>'5. Financials - drinking water'!H$29</f>
        <v>533.75315950000004</v>
      </c>
      <c r="F5" s="95">
        <f>'5. Financials - drinking water'!I$29</f>
        <v>1846.2998785000002</v>
      </c>
      <c r="G5" s="95">
        <f>'5. Financials - drinking water'!J$29</f>
        <v>1866.0362135124237</v>
      </c>
      <c r="H5" s="95">
        <f>'5. Financials - drinking water'!K$29</f>
        <v>2067.8123228837999</v>
      </c>
      <c r="I5" s="95">
        <f>'5. Financials - drinking water'!L$29</f>
        <v>2036.0631892856397</v>
      </c>
      <c r="J5" s="95">
        <f>'5. Financials - drinking water'!M$29</f>
        <v>2041.3755946416456</v>
      </c>
      <c r="K5" s="95">
        <f>'5. Financials - drinking water'!N$29</f>
        <v>1742.2781212549826</v>
      </c>
    </row>
    <row r="6" spans="1:11" ht="11" thickBot="1">
      <c r="A6" s="94" t="s">
        <v>196</v>
      </c>
      <c r="B6" s="95">
        <f>'5. Financials - drinking water'!E$30</f>
        <v>4955.2</v>
      </c>
      <c r="C6" s="95">
        <f>'5. Financials - drinking water'!F$30</f>
        <v>5186.7700000000004</v>
      </c>
      <c r="D6" s="95">
        <f>'5. Financials - drinking water'!G$30</f>
        <v>4163.2640000000001</v>
      </c>
      <c r="E6" s="95">
        <f>'5. Financials - drinking water'!H$30</f>
        <v>1394.25</v>
      </c>
      <c r="F6" s="95">
        <f>'5. Financials - drinking water'!I$30</f>
        <v>1394.25</v>
      </c>
      <c r="G6" s="95">
        <f>'5. Financials - drinking water'!J$30</f>
        <v>2083.0797514915462</v>
      </c>
      <c r="H6" s="95">
        <f>'5. Financials - drinking water'!K$30</f>
        <v>2442.6675411914266</v>
      </c>
      <c r="I6" s="95">
        <f>'5. Financials - drinking water'!L$30</f>
        <v>2719.8306880204477</v>
      </c>
      <c r="J6" s="95">
        <f>'5. Financials - drinking water'!M$30</f>
        <v>2787.2542995264744</v>
      </c>
      <c r="K6" s="95">
        <f>'5. Financials - drinking water'!N$30</f>
        <v>3234.6034280794015</v>
      </c>
    </row>
    <row r="7" spans="1:11" ht="11" thickBot="1">
      <c r="A7" s="96" t="s">
        <v>197</v>
      </c>
      <c r="B7" s="97">
        <f t="shared" ref="B7:K7" si="0">SUM(B4:B6)</f>
        <v>9352.4</v>
      </c>
      <c r="C7" s="97">
        <f t="shared" si="0"/>
        <v>9015.6660000000011</v>
      </c>
      <c r="D7" s="97">
        <f t="shared" si="0"/>
        <v>6898.982</v>
      </c>
      <c r="E7" s="97">
        <f t="shared" si="0"/>
        <v>1928.0031595</v>
      </c>
      <c r="F7" s="97">
        <f t="shared" si="0"/>
        <v>3240.5498785</v>
      </c>
      <c r="G7" s="97">
        <f t="shared" si="0"/>
        <v>3949.1159650039699</v>
      </c>
      <c r="H7" s="97">
        <f t="shared" si="0"/>
        <v>4510.4798640752269</v>
      </c>
      <c r="I7" s="97">
        <f t="shared" si="0"/>
        <v>4755.8938773060872</v>
      </c>
      <c r="J7" s="97">
        <f t="shared" si="0"/>
        <v>4828.6298941681198</v>
      </c>
      <c r="K7" s="97">
        <f t="shared" si="0"/>
        <v>4976.8815493343845</v>
      </c>
    </row>
    <row r="8" spans="1:11" ht="5.25" customHeight="1" thickBot="1"/>
    <row r="9" spans="1:11" ht="11" thickBot="1">
      <c r="A9" s="92" t="s">
        <v>3</v>
      </c>
      <c r="B9" s="93"/>
      <c r="C9" s="93"/>
      <c r="D9" s="93"/>
      <c r="E9" s="93"/>
      <c r="F9" s="93"/>
      <c r="G9" s="93"/>
      <c r="H9" s="93"/>
      <c r="I9" s="93"/>
      <c r="J9" s="93"/>
      <c r="K9" s="93"/>
    </row>
    <row r="10" spans="1:11" ht="11" thickBot="1">
      <c r="A10" s="94" t="s">
        <v>194</v>
      </c>
      <c r="B10" s="95">
        <f>'6. Financials - wastewater'!E$28</f>
        <v>0</v>
      </c>
      <c r="C10" s="95">
        <f>'6. Financials - wastewater'!F$28</f>
        <v>992.68399999999997</v>
      </c>
      <c r="D10" s="95">
        <f>'6. Financials - wastewater'!G$28</f>
        <v>2984.4180000000001</v>
      </c>
      <c r="E10" s="95">
        <f>'6. Financials - wastewater'!H$28</f>
        <v>5225</v>
      </c>
      <c r="F10" s="95">
        <f>'6. Financials - wastewater'!I$28</f>
        <v>3300.0000000000005</v>
      </c>
      <c r="G10" s="95">
        <f>'6. Financials - wastewater'!J$28</f>
        <v>2199.1724733250217</v>
      </c>
      <c r="H10" s="95">
        <f>'6. Financials - wastewater'!K$28</f>
        <v>0</v>
      </c>
      <c r="I10" s="95">
        <f>'6. Financials - wastewater'!L$28</f>
        <v>0</v>
      </c>
      <c r="J10" s="95">
        <f>'6. Financials - wastewater'!M$28</f>
        <v>0</v>
      </c>
      <c r="K10" s="95">
        <f>'6. Financials - wastewater'!N$28</f>
        <v>0</v>
      </c>
    </row>
    <row r="11" spans="1:11" ht="11" thickBot="1">
      <c r="A11" s="94" t="s">
        <v>195</v>
      </c>
      <c r="B11" s="95">
        <f>'6. Financials - wastewater'!E$29</f>
        <v>3110.2</v>
      </c>
      <c r="C11" s="95">
        <f>'6. Financials - wastewater'!F$29</f>
        <v>2251.3440000000001</v>
      </c>
      <c r="D11" s="95">
        <f>'6. Financials - wastewater'!G$29</f>
        <v>8954.0470000000005</v>
      </c>
      <c r="E11" s="95">
        <f>'6. Financials - wastewater'!H$29</f>
        <v>8870.4</v>
      </c>
      <c r="F11" s="95">
        <f>'6. Financials - wastewater'!I$29</f>
        <v>11021.45</v>
      </c>
      <c r="G11" s="95">
        <f>'6. Financials - wastewater'!J$29</f>
        <v>5477.6318983562896</v>
      </c>
      <c r="H11" s="95">
        <f>'6. Financials - wastewater'!K$29</f>
        <v>5503.3126457602466</v>
      </c>
      <c r="I11" s="95">
        <f>'6. Financials - wastewater'!L$29</f>
        <v>5982.81125621089</v>
      </c>
      <c r="J11" s="95">
        <f>'6. Financials - wastewater'!M$29</f>
        <v>2343.9448596051548</v>
      </c>
      <c r="K11" s="95">
        <f>'6. Financials - wastewater'!N$29</f>
        <v>3819.2665740203552</v>
      </c>
    </row>
    <row r="12" spans="1:11" ht="11" thickBot="1">
      <c r="A12" s="94" t="s">
        <v>196</v>
      </c>
      <c r="B12" s="95">
        <f>'6. Financials - wastewater'!E$30</f>
        <v>646</v>
      </c>
      <c r="C12" s="95">
        <f>'6. Financials - wastewater'!F$30</f>
        <v>935.62599999999998</v>
      </c>
      <c r="D12" s="95">
        <f>'6. Financials - wastewater'!G$30</f>
        <v>576.78800000000001</v>
      </c>
      <c r="E12" s="95">
        <f>'6. Financials - wastewater'!H$30</f>
        <v>377.96550000000008</v>
      </c>
      <c r="F12" s="95">
        <f>'6. Financials - wastewater'!I$30</f>
        <v>295.20150000000001</v>
      </c>
      <c r="G12" s="95">
        <f>'6. Financials - wastewater'!J$30</f>
        <v>2382.2494571476427</v>
      </c>
      <c r="H12" s="95">
        <f>'6. Financials - wastewater'!K$30</f>
        <v>2363.6490850074033</v>
      </c>
      <c r="I12" s="95">
        <f>'6. Financials - wastewater'!L$30</f>
        <v>2432.8696134620423</v>
      </c>
      <c r="J12" s="95">
        <f>'6. Financials - wastewater'!M$30</f>
        <v>2353.3069906635028</v>
      </c>
      <c r="K12" s="95">
        <f>'6. Financials - wastewater'!N$30</f>
        <v>2341.9468056703995</v>
      </c>
    </row>
    <row r="13" spans="1:11" ht="11" thickBot="1">
      <c r="A13" s="96" t="s">
        <v>198</v>
      </c>
      <c r="B13" s="97">
        <f t="shared" ref="B13:K13" si="1">SUM(B10:B12)</f>
        <v>3756.2</v>
      </c>
      <c r="C13" s="97">
        <f t="shared" si="1"/>
        <v>4179.6540000000005</v>
      </c>
      <c r="D13" s="97">
        <f t="shared" si="1"/>
        <v>12515.253000000001</v>
      </c>
      <c r="E13" s="97">
        <f t="shared" si="1"/>
        <v>14473.3655</v>
      </c>
      <c r="F13" s="97">
        <f t="shared" si="1"/>
        <v>14616.6515</v>
      </c>
      <c r="G13" s="97">
        <f t="shared" si="1"/>
        <v>10059.053828828954</v>
      </c>
      <c r="H13" s="97">
        <f t="shared" si="1"/>
        <v>7866.9617307676499</v>
      </c>
      <c r="I13" s="97">
        <f t="shared" si="1"/>
        <v>8415.6808696729313</v>
      </c>
      <c r="J13" s="97">
        <f t="shared" si="1"/>
        <v>4697.251850268658</v>
      </c>
      <c r="K13" s="97">
        <f t="shared" si="1"/>
        <v>6161.2133796907547</v>
      </c>
    </row>
    <row r="14" spans="1:11" ht="5.25" customHeight="1" thickBot="1"/>
    <row r="15" spans="1:11" ht="11" thickBot="1">
      <c r="A15" s="92" t="s">
        <v>4</v>
      </c>
      <c r="B15" s="93"/>
      <c r="C15" s="93"/>
      <c r="D15" s="93"/>
      <c r="E15" s="93"/>
      <c r="F15" s="93"/>
      <c r="G15" s="93"/>
      <c r="H15" s="93"/>
      <c r="I15" s="93"/>
      <c r="J15" s="93"/>
      <c r="K15" s="93"/>
    </row>
    <row r="16" spans="1:11" ht="11" thickBot="1">
      <c r="A16" s="94" t="s">
        <v>194</v>
      </c>
      <c r="B16" s="95">
        <f>'7. Financials - stormwater'!E$28</f>
        <v>0</v>
      </c>
      <c r="C16" s="95">
        <f>'7. Financials - stormwater'!F$28</f>
        <v>0</v>
      </c>
      <c r="D16" s="95">
        <f>'7. Financials - stormwater'!G$28</f>
        <v>0</v>
      </c>
      <c r="E16" s="95">
        <f>'7. Financials - stormwater'!H$28</f>
        <v>0</v>
      </c>
      <c r="F16" s="95">
        <f>'7. Financials - stormwater'!I$28</f>
        <v>0</v>
      </c>
      <c r="G16" s="95">
        <f>'7. Financials - stormwater'!J$28</f>
        <v>0</v>
      </c>
      <c r="H16" s="95">
        <f>'7. Financials - stormwater'!K$28</f>
        <v>0</v>
      </c>
      <c r="I16" s="95">
        <f>'7. Financials - stormwater'!L$28</f>
        <v>0</v>
      </c>
      <c r="J16" s="95">
        <f>'7. Financials - stormwater'!M$28</f>
        <v>0</v>
      </c>
      <c r="K16" s="95">
        <f>'7. Financials - stormwater'!N$28</f>
        <v>0</v>
      </c>
    </row>
    <row r="17" spans="1:11" ht="11" thickBot="1">
      <c r="A17" s="94" t="s">
        <v>195</v>
      </c>
      <c r="B17" s="95">
        <f>'7. Financials - stormwater'!E$29</f>
        <v>0</v>
      </c>
      <c r="C17" s="95">
        <f>'7. Financials - stormwater'!F$29</f>
        <v>0</v>
      </c>
      <c r="D17" s="95">
        <f>'7. Financials - stormwater'!G$29</f>
        <v>0</v>
      </c>
      <c r="E17" s="95">
        <f>'7. Financials - stormwater'!H$29</f>
        <v>110.00000000000001</v>
      </c>
      <c r="F17" s="95">
        <f>'7. Financials - stormwater'!I$29</f>
        <v>385.00000000000006</v>
      </c>
      <c r="G17" s="95">
        <f>'7. Financials - stormwater'!J$29</f>
        <v>934.78361124709829</v>
      </c>
      <c r="H17" s="95">
        <f>'7. Financials - stormwater'!K$29</f>
        <v>1649.4275877287182</v>
      </c>
      <c r="I17" s="95">
        <f>'7. Financials - stormwater'!L$29</f>
        <v>2198.7282676054106</v>
      </c>
      <c r="J17" s="95">
        <f>'7. Financials - stormwater'!M$29</f>
        <v>1786.345280091226</v>
      </c>
      <c r="K17" s="95">
        <f>'7. Financials - stormwater'!N$29</f>
        <v>1180.8144971642066</v>
      </c>
    </row>
    <row r="18" spans="1:11" ht="11" thickBot="1">
      <c r="A18" s="94" t="s">
        <v>196</v>
      </c>
      <c r="B18" s="95">
        <f>'7. Financials - stormwater'!E$30</f>
        <v>206</v>
      </c>
      <c r="C18" s="95">
        <f>'7. Financials - stormwater'!F$30</f>
        <v>292.84199999999998</v>
      </c>
      <c r="D18" s="95">
        <f>'7. Financials - stormwater'!G$30</f>
        <v>293.46800000000002</v>
      </c>
      <c r="E18" s="95">
        <f>'7. Financials - stormwater'!H$30</f>
        <v>162.25</v>
      </c>
      <c r="F18" s="95">
        <f>'7. Financials - stormwater'!I$30</f>
        <v>200.75000000000003</v>
      </c>
      <c r="G18" s="95">
        <f>'7. Financials - stormwater'!J$30</f>
        <v>186.90385846664566</v>
      </c>
      <c r="H18" s="95">
        <f>'7. Financials - stormwater'!K$30</f>
        <v>186.69003394694775</v>
      </c>
      <c r="I18" s="95">
        <f>'7. Financials - stormwater'!L$30</f>
        <v>186.33547770970151</v>
      </c>
      <c r="J18" s="95">
        <f>'7. Financials - stormwater'!M$30</f>
        <v>186.00339866798404</v>
      </c>
      <c r="K18" s="95">
        <f>'7. Financials - stormwater'!N$30</f>
        <v>185.55954687399566</v>
      </c>
    </row>
    <row r="19" spans="1:11" ht="11" thickBot="1">
      <c r="A19" s="96" t="s">
        <v>199</v>
      </c>
      <c r="B19" s="97">
        <f t="shared" ref="B19:K19" si="2">SUM(B16:B18)</f>
        <v>206</v>
      </c>
      <c r="C19" s="97">
        <f t="shared" si="2"/>
        <v>292.84199999999998</v>
      </c>
      <c r="D19" s="97">
        <f t="shared" si="2"/>
        <v>293.46800000000002</v>
      </c>
      <c r="E19" s="97">
        <f t="shared" si="2"/>
        <v>272.25</v>
      </c>
      <c r="F19" s="97">
        <f t="shared" si="2"/>
        <v>585.75000000000011</v>
      </c>
      <c r="G19" s="97">
        <f t="shared" si="2"/>
        <v>1121.6874697137439</v>
      </c>
      <c r="H19" s="97">
        <f t="shared" si="2"/>
        <v>1836.117621675666</v>
      </c>
      <c r="I19" s="97">
        <f t="shared" si="2"/>
        <v>2385.0637453151121</v>
      </c>
      <c r="J19" s="97">
        <f t="shared" si="2"/>
        <v>1972.3486787592101</v>
      </c>
      <c r="K19" s="97">
        <f t="shared" si="2"/>
        <v>1366.3740440382023</v>
      </c>
    </row>
    <row r="20" spans="1:11" ht="5.25" customHeight="1" thickBot="1"/>
    <row r="21" spans="1:11" ht="11" thickBot="1">
      <c r="A21" s="96" t="s">
        <v>200</v>
      </c>
      <c r="B21" s="97">
        <f t="shared" ref="B21:K21" si="3">B7+B13+B19</f>
        <v>13314.599999999999</v>
      </c>
      <c r="C21" s="97">
        <f t="shared" si="3"/>
        <v>13488.162000000002</v>
      </c>
      <c r="D21" s="97">
        <f t="shared" si="3"/>
        <v>19707.703000000001</v>
      </c>
      <c r="E21" s="97">
        <f t="shared" si="3"/>
        <v>16673.6186595</v>
      </c>
      <c r="F21" s="97">
        <f t="shared" si="3"/>
        <v>18442.951378500002</v>
      </c>
      <c r="G21" s="97">
        <f t="shared" si="3"/>
        <v>15129.857263546668</v>
      </c>
      <c r="H21" s="97">
        <f t="shared" si="3"/>
        <v>14213.559216518543</v>
      </c>
      <c r="I21" s="97">
        <f t="shared" si="3"/>
        <v>15556.638492294131</v>
      </c>
      <c r="J21" s="97">
        <f t="shared" si="3"/>
        <v>11498.230423195988</v>
      </c>
      <c r="K21" s="97">
        <f t="shared" si="3"/>
        <v>12504.468973063342</v>
      </c>
    </row>
    <row r="24" spans="1:11" ht="11" thickBot="1">
      <c r="A24" s="98" t="s">
        <v>201</v>
      </c>
      <c r="B24" s="120" t="s">
        <v>202</v>
      </c>
      <c r="C24" s="120"/>
      <c r="D24" s="120"/>
      <c r="E24" s="120"/>
      <c r="F24" s="120" t="s">
        <v>203</v>
      </c>
      <c r="G24" s="120"/>
      <c r="H24" s="120"/>
      <c r="I24" s="120"/>
    </row>
    <row r="25" spans="1:11" ht="11" thickBot="1">
      <c r="A25" s="99"/>
      <c r="B25" s="99" t="s">
        <v>204</v>
      </c>
      <c r="C25" s="99" t="s">
        <v>205</v>
      </c>
      <c r="D25" s="99" t="s">
        <v>206</v>
      </c>
      <c r="E25" s="99" t="s">
        <v>158</v>
      </c>
      <c r="F25" s="99" t="s">
        <v>204</v>
      </c>
      <c r="G25" s="99" t="s">
        <v>205</v>
      </c>
      <c r="H25" s="99" t="s">
        <v>206</v>
      </c>
      <c r="I25" s="99" t="s">
        <v>158</v>
      </c>
    </row>
    <row r="26" spans="1:11" ht="11" thickBot="1">
      <c r="A26" s="94" t="s">
        <v>207</v>
      </c>
      <c r="B26" s="100">
        <v>1366.1279999999999</v>
      </c>
      <c r="C26" s="100">
        <v>3180.317</v>
      </c>
      <c r="D26" s="100">
        <v>2648.3420000000001</v>
      </c>
      <c r="E26" s="97">
        <f>SUM(B26:D26)</f>
        <v>7194.7870000000003</v>
      </c>
      <c r="F26" s="100">
        <v>17404.447090000001</v>
      </c>
      <c r="G26" s="100">
        <v>16799.40552</v>
      </c>
      <c r="H26" s="100">
        <v>6147.2880000000005</v>
      </c>
      <c r="I26" s="97">
        <f>SUM(F26:H26)</f>
        <v>40351.140610000002</v>
      </c>
    </row>
    <row r="27" spans="1:11" ht="11" thickBot="1">
      <c r="A27" s="94" t="s">
        <v>208</v>
      </c>
      <c r="B27" s="100">
        <v>1067.7148400000001</v>
      </c>
      <c r="C27" s="100">
        <v>10321.52557</v>
      </c>
      <c r="D27" s="100">
        <v>8028.1433800000004</v>
      </c>
      <c r="E27" s="97">
        <f>SUM(B27:D27)</f>
        <v>19417.38379</v>
      </c>
      <c r="F27" s="100">
        <v>5470.5796099999989</v>
      </c>
      <c r="G27" s="100">
        <v>17557.150399999999</v>
      </c>
      <c r="H27" s="100">
        <v>17672.738089999999</v>
      </c>
      <c r="I27" s="97">
        <f>SUM(F27:H27)</f>
        <v>40700.468099999998</v>
      </c>
    </row>
    <row r="28" spans="1:11" ht="11" thickBot="1">
      <c r="A28" s="96" t="s">
        <v>209</v>
      </c>
      <c r="B28" s="101">
        <f>B27/B26</f>
        <v>0.78156281109822812</v>
      </c>
      <c r="C28" s="101">
        <f>C27/C26</f>
        <v>3.2454392345165592</v>
      </c>
      <c r="D28" s="101">
        <f>D27/D26</f>
        <v>3.0313846852105959</v>
      </c>
      <c r="E28" s="101">
        <f t="shared" ref="E28:I28" si="4">E27/E26</f>
        <v>2.6988128752108991</v>
      </c>
      <c r="F28" s="101">
        <f>F27/F26</f>
        <v>0.31432079293936355</v>
      </c>
      <c r="G28" s="101">
        <f>G27/G26</f>
        <v>1.045105457993611</v>
      </c>
      <c r="H28" s="101">
        <f>H27/H26</f>
        <v>2.8748837031874865</v>
      </c>
      <c r="I28" s="101">
        <f t="shared" si="4"/>
        <v>1.0086571899757755</v>
      </c>
    </row>
    <row r="30" spans="1:11" ht="11" thickBot="1"/>
    <row r="31" spans="1:11" ht="11" thickBot="1">
      <c r="A31" s="89" t="s">
        <v>210</v>
      </c>
      <c r="B31" s="90" t="s">
        <v>19</v>
      </c>
      <c r="C31" s="90" t="s">
        <v>20</v>
      </c>
      <c r="D31" s="90" t="s">
        <v>21</v>
      </c>
      <c r="E31" s="90" t="s">
        <v>22</v>
      </c>
      <c r="F31" s="90" t="s">
        <v>23</v>
      </c>
      <c r="G31" s="90" t="s">
        <v>24</v>
      </c>
      <c r="H31" s="90" t="s">
        <v>25</v>
      </c>
      <c r="I31" s="90" t="s">
        <v>26</v>
      </c>
      <c r="J31" s="90" t="s">
        <v>27</v>
      </c>
      <c r="K31" s="90" t="s">
        <v>28</v>
      </c>
    </row>
    <row r="32" spans="1:11" ht="11" thickBot="1">
      <c r="A32" s="92" t="s">
        <v>211</v>
      </c>
      <c r="B32" s="93"/>
      <c r="C32" s="93"/>
      <c r="D32" s="93"/>
      <c r="E32" s="93"/>
      <c r="F32" s="93"/>
      <c r="G32" s="93"/>
      <c r="H32" s="93"/>
      <c r="I32" s="93"/>
      <c r="J32" s="93"/>
      <c r="K32" s="93"/>
    </row>
    <row r="33" spans="1:11" ht="11" thickBot="1">
      <c r="A33" s="102"/>
      <c r="B33" s="103"/>
      <c r="C33" s="103"/>
      <c r="D33" s="103"/>
      <c r="E33" s="103"/>
      <c r="F33" s="103"/>
      <c r="G33" s="103"/>
      <c r="H33" s="103"/>
      <c r="I33" s="103"/>
      <c r="J33" s="103"/>
      <c r="K33" s="103"/>
    </row>
    <row r="34" spans="1:11" ht="11" thickBot="1">
      <c r="A34" s="102"/>
      <c r="B34" s="103"/>
      <c r="C34" s="103"/>
      <c r="D34" s="103"/>
      <c r="E34" s="103"/>
      <c r="F34" s="103"/>
      <c r="G34" s="103"/>
      <c r="H34" s="103"/>
      <c r="I34" s="103"/>
      <c r="J34" s="103"/>
      <c r="K34" s="103"/>
    </row>
    <row r="35" spans="1:11" ht="11" thickBot="1">
      <c r="A35" s="102"/>
      <c r="B35" s="103"/>
      <c r="C35" s="103"/>
      <c r="D35" s="103"/>
      <c r="E35" s="103"/>
      <c r="F35" s="103"/>
      <c r="G35" s="103"/>
      <c r="H35" s="103"/>
      <c r="I35" s="103"/>
      <c r="J35" s="103"/>
      <c r="K35" s="103"/>
    </row>
    <row r="36" spans="1:11" ht="11" thickBot="1">
      <c r="A36" s="96" t="s">
        <v>212</v>
      </c>
      <c r="B36" s="97">
        <f t="shared" ref="B36:K36" si="5">SUM(B33:B35)</f>
        <v>0</v>
      </c>
      <c r="C36" s="97">
        <f t="shared" si="5"/>
        <v>0</v>
      </c>
      <c r="D36" s="97">
        <f t="shared" si="5"/>
        <v>0</v>
      </c>
      <c r="E36" s="97">
        <f t="shared" si="5"/>
        <v>0</v>
      </c>
      <c r="F36" s="97">
        <f t="shared" si="5"/>
        <v>0</v>
      </c>
      <c r="G36" s="97">
        <f t="shared" si="5"/>
        <v>0</v>
      </c>
      <c r="H36" s="97">
        <f t="shared" si="5"/>
        <v>0</v>
      </c>
      <c r="I36" s="97">
        <f t="shared" si="5"/>
        <v>0</v>
      </c>
      <c r="J36" s="97">
        <f t="shared" si="5"/>
        <v>0</v>
      </c>
      <c r="K36" s="97">
        <f t="shared" si="5"/>
        <v>0</v>
      </c>
    </row>
    <row r="37" spans="1:11" ht="11" thickBot="1"/>
    <row r="38" spans="1:11" ht="11" thickBot="1">
      <c r="A38" s="92" t="s">
        <v>213</v>
      </c>
      <c r="B38" s="93"/>
      <c r="C38" s="93"/>
      <c r="D38" s="93"/>
      <c r="E38" s="93"/>
      <c r="F38" s="93"/>
      <c r="G38" s="93"/>
      <c r="H38" s="93"/>
      <c r="I38" s="93"/>
      <c r="J38" s="93"/>
      <c r="K38" s="93"/>
    </row>
    <row r="39" spans="1:11" ht="11" thickBot="1">
      <c r="A39" s="102" t="s">
        <v>293</v>
      </c>
      <c r="B39" s="103">
        <v>3141</v>
      </c>
      <c r="C39" s="103">
        <v>2131</v>
      </c>
      <c r="D39" s="103">
        <v>2101</v>
      </c>
      <c r="E39" s="103"/>
      <c r="F39" s="103"/>
      <c r="G39" s="103"/>
      <c r="H39" s="103"/>
      <c r="I39" s="103"/>
      <c r="J39" s="103"/>
      <c r="K39" s="103"/>
    </row>
    <row r="40" spans="1:11" ht="11" thickBot="1">
      <c r="A40" s="102" t="s">
        <v>294</v>
      </c>
      <c r="B40" s="103">
        <v>104</v>
      </c>
      <c r="C40" s="103"/>
      <c r="D40" s="103"/>
      <c r="E40" s="103"/>
      <c r="F40" s="103"/>
      <c r="G40" s="103"/>
      <c r="H40" s="103"/>
      <c r="I40" s="103"/>
      <c r="J40" s="103"/>
      <c r="K40" s="103"/>
    </row>
    <row r="41" spans="1:11" ht="11" thickBot="1">
      <c r="A41" s="102" t="s">
        <v>295</v>
      </c>
      <c r="B41" s="103">
        <v>52</v>
      </c>
      <c r="C41" s="103"/>
      <c r="D41" s="103"/>
      <c r="E41" s="103"/>
      <c r="F41" s="103">
        <v>28</v>
      </c>
      <c r="G41" s="103">
        <v>55</v>
      </c>
      <c r="H41" s="103">
        <v>275</v>
      </c>
      <c r="I41" s="103">
        <v>275</v>
      </c>
      <c r="J41" s="103">
        <v>275</v>
      </c>
      <c r="K41" s="103">
        <v>0</v>
      </c>
    </row>
    <row r="42" spans="1:11" ht="11" thickBot="1">
      <c r="A42" s="102" t="s">
        <v>296</v>
      </c>
      <c r="B42" s="103">
        <v>1047</v>
      </c>
      <c r="C42" s="103"/>
      <c r="D42" s="103">
        <v>1632</v>
      </c>
      <c r="E42" s="103"/>
      <c r="F42" s="103"/>
      <c r="G42" s="103"/>
      <c r="H42" s="103"/>
      <c r="I42" s="103"/>
      <c r="J42" s="103"/>
      <c r="K42" s="103"/>
    </row>
    <row r="43" spans="1:11" ht="11" thickBot="1">
      <c r="A43" s="102" t="s">
        <v>297</v>
      </c>
      <c r="B43" s="103"/>
      <c r="C43" s="103"/>
      <c r="D43" s="103"/>
      <c r="E43" s="103">
        <v>121</v>
      </c>
      <c r="F43" s="103">
        <v>1819</v>
      </c>
      <c r="G43" s="103">
        <v>1819</v>
      </c>
      <c r="H43" s="103">
        <v>1819</v>
      </c>
      <c r="I43" s="103">
        <v>1819</v>
      </c>
      <c r="J43" s="103">
        <v>1819</v>
      </c>
      <c r="K43" s="103">
        <v>1819</v>
      </c>
    </row>
    <row r="44" spans="1:11" ht="11" thickBot="1">
      <c r="A44" s="102" t="s">
        <v>298</v>
      </c>
      <c r="B44" s="103">
        <v>52</v>
      </c>
      <c r="C44" s="103">
        <v>99</v>
      </c>
      <c r="D44" s="103">
        <v>746</v>
      </c>
      <c r="E44" s="103">
        <v>413</v>
      </c>
      <c r="F44" s="103"/>
      <c r="G44" s="103"/>
      <c r="H44" s="103"/>
      <c r="I44" s="103"/>
      <c r="J44" s="103"/>
      <c r="K44" s="103"/>
    </row>
    <row r="45" spans="1:11" ht="11" thickBot="1">
      <c r="A45" s="102" t="s">
        <v>299</v>
      </c>
      <c r="B45" s="103"/>
      <c r="C45" s="103">
        <v>79</v>
      </c>
      <c r="D45" s="103">
        <v>99</v>
      </c>
      <c r="E45" s="103"/>
      <c r="F45" s="103"/>
      <c r="G45" s="103"/>
      <c r="H45" s="103"/>
      <c r="I45" s="103"/>
      <c r="J45" s="103"/>
      <c r="K45" s="103"/>
    </row>
    <row r="46" spans="1:11" ht="11" thickBot="1">
      <c r="A46" s="96" t="s">
        <v>214</v>
      </c>
      <c r="B46" s="97">
        <f t="shared" ref="B46:K46" si="6">SUM(B39:B45)</f>
        <v>4396</v>
      </c>
      <c r="C46" s="97">
        <f t="shared" si="6"/>
        <v>2309</v>
      </c>
      <c r="D46" s="97">
        <f t="shared" si="6"/>
        <v>4578</v>
      </c>
      <c r="E46" s="97">
        <f t="shared" si="6"/>
        <v>534</v>
      </c>
      <c r="F46" s="97">
        <f t="shared" si="6"/>
        <v>1847</v>
      </c>
      <c r="G46" s="97">
        <f t="shared" si="6"/>
        <v>1874</v>
      </c>
      <c r="H46" s="97">
        <f t="shared" si="6"/>
        <v>2094</v>
      </c>
      <c r="I46" s="97">
        <f t="shared" si="6"/>
        <v>2094</v>
      </c>
      <c r="J46" s="97">
        <f t="shared" si="6"/>
        <v>2094</v>
      </c>
      <c r="K46" s="97">
        <f t="shared" si="6"/>
        <v>1819</v>
      </c>
    </row>
    <row r="47" spans="1:11" ht="11" thickBot="1"/>
    <row r="48" spans="1:11" ht="11" thickBot="1">
      <c r="A48" s="92" t="s">
        <v>215</v>
      </c>
      <c r="B48" s="93"/>
      <c r="C48" s="93"/>
      <c r="D48" s="93"/>
      <c r="E48" s="93"/>
      <c r="F48" s="93"/>
      <c r="G48" s="93"/>
      <c r="H48" s="93"/>
      <c r="I48" s="93"/>
      <c r="J48" s="93"/>
      <c r="K48" s="93"/>
    </row>
    <row r="49" spans="1:11" ht="11" thickBot="1">
      <c r="A49" s="102" t="s">
        <v>300</v>
      </c>
      <c r="B49" s="103">
        <v>211</v>
      </c>
      <c r="C49" s="103">
        <v>1926</v>
      </c>
      <c r="D49" s="103">
        <v>1999</v>
      </c>
      <c r="E49" s="103">
        <v>2077</v>
      </c>
      <c r="F49" s="103">
        <v>2141</v>
      </c>
      <c r="G49" s="103"/>
      <c r="H49" s="103"/>
      <c r="I49" s="103"/>
      <c r="J49" s="103"/>
      <c r="K49" s="103"/>
    </row>
    <row r="50" spans="1:11" ht="11" thickBot="1">
      <c r="A50" s="102" t="s">
        <v>301</v>
      </c>
      <c r="B50" s="103">
        <v>3485</v>
      </c>
      <c r="C50" s="103">
        <v>2047</v>
      </c>
      <c r="D50" s="103"/>
      <c r="E50" s="103"/>
      <c r="F50" s="103"/>
      <c r="G50" s="103"/>
      <c r="H50" s="103"/>
      <c r="I50" s="103"/>
      <c r="J50" s="103"/>
      <c r="K50" s="103"/>
    </row>
    <row r="51" spans="1:11" ht="11" thickBot="1">
      <c r="A51" s="102" t="s">
        <v>302</v>
      </c>
      <c r="B51" s="103"/>
      <c r="C51" s="103"/>
      <c r="D51" s="103"/>
      <c r="E51" s="103"/>
      <c r="F51" s="103"/>
      <c r="G51" s="103">
        <v>1724</v>
      </c>
      <c r="H51" s="103">
        <v>2069</v>
      </c>
      <c r="I51" s="103">
        <v>2387</v>
      </c>
      <c r="J51" s="103">
        <v>2387</v>
      </c>
      <c r="K51" s="103">
        <v>2387</v>
      </c>
    </row>
    <row r="52" spans="1:11" ht="11" thickBot="1">
      <c r="A52" s="102" t="s">
        <v>303</v>
      </c>
      <c r="B52" s="103">
        <v>52</v>
      </c>
      <c r="C52" s="103">
        <v>149</v>
      </c>
      <c r="D52" s="103">
        <v>1492</v>
      </c>
      <c r="E52" s="103"/>
      <c r="F52" s="103"/>
      <c r="G52" s="103"/>
      <c r="H52" s="103"/>
      <c r="I52" s="103"/>
      <c r="J52" s="103"/>
      <c r="K52" s="103"/>
    </row>
    <row r="53" spans="1:11" ht="11" thickBot="1">
      <c r="A53" s="102" t="s">
        <v>304</v>
      </c>
      <c r="B53" s="103">
        <v>743</v>
      </c>
      <c r="C53" s="103">
        <v>655</v>
      </c>
      <c r="D53" s="103">
        <v>657</v>
      </c>
      <c r="E53" s="103">
        <v>363</v>
      </c>
      <c r="F53" s="103">
        <v>363</v>
      </c>
      <c r="G53" s="103">
        <v>365</v>
      </c>
      <c r="H53" s="103">
        <v>388</v>
      </c>
      <c r="I53" s="103">
        <v>363</v>
      </c>
      <c r="J53" s="103">
        <v>363</v>
      </c>
      <c r="K53" s="103">
        <v>363</v>
      </c>
    </row>
    <row r="54" spans="1:11" ht="11" thickBot="1">
      <c r="A54" s="102" t="s">
        <v>305</v>
      </c>
      <c r="B54" s="103"/>
      <c r="C54" s="103">
        <v>248</v>
      </c>
      <c r="D54" s="103">
        <v>149</v>
      </c>
      <c r="E54" s="103"/>
      <c r="F54" s="103"/>
      <c r="G54" s="103"/>
      <c r="H54" s="103"/>
      <c r="I54" s="103"/>
      <c r="J54" s="103"/>
      <c r="K54" s="103"/>
    </row>
    <row r="55" spans="1:11" ht="11" thickBot="1">
      <c r="A55" s="102" t="s">
        <v>306</v>
      </c>
      <c r="B55" s="103"/>
      <c r="C55" s="103">
        <v>199</v>
      </c>
      <c r="D55" s="103"/>
      <c r="E55" s="103"/>
      <c r="F55" s="103"/>
      <c r="G55" s="103"/>
      <c r="H55" s="103"/>
      <c r="I55" s="103"/>
      <c r="J55" s="103"/>
      <c r="K55" s="103"/>
    </row>
    <row r="56" spans="1:11" ht="11" thickBot="1">
      <c r="A56" s="102" t="s">
        <v>307</v>
      </c>
      <c r="B56" s="103">
        <v>52</v>
      </c>
      <c r="C56" s="103"/>
      <c r="D56" s="103"/>
      <c r="E56" s="103"/>
      <c r="F56" s="103"/>
      <c r="G56" s="103"/>
      <c r="H56" s="103"/>
      <c r="I56" s="103"/>
      <c r="J56" s="103">
        <v>83</v>
      </c>
      <c r="K56" s="103">
        <v>550</v>
      </c>
    </row>
    <row r="57" spans="1:11" ht="11" thickBot="1">
      <c r="A57" s="102" t="s">
        <v>306</v>
      </c>
      <c r="B57" s="103">
        <v>157</v>
      </c>
      <c r="C57" s="103"/>
      <c r="D57" s="103"/>
      <c r="E57" s="103"/>
      <c r="F57" s="103"/>
      <c r="G57" s="103"/>
      <c r="H57" s="103"/>
      <c r="I57" s="103"/>
      <c r="J57" s="103"/>
      <c r="K57" s="103"/>
    </row>
    <row r="58" spans="1:11" ht="11" thickBot="1">
      <c r="A58" s="96" t="s">
        <v>216</v>
      </c>
      <c r="B58" s="97">
        <f t="shared" ref="B58:K58" si="7">SUM(B49:B57)</f>
        <v>4700</v>
      </c>
      <c r="C58" s="97">
        <f t="shared" si="7"/>
        <v>5224</v>
      </c>
      <c r="D58" s="97">
        <f t="shared" si="7"/>
        <v>4297</v>
      </c>
      <c r="E58" s="97">
        <f t="shared" si="7"/>
        <v>2440</v>
      </c>
      <c r="F58" s="97">
        <f t="shared" si="7"/>
        <v>2504</v>
      </c>
      <c r="G58" s="97">
        <f t="shared" si="7"/>
        <v>2089</v>
      </c>
      <c r="H58" s="97">
        <f t="shared" si="7"/>
        <v>2457</v>
      </c>
      <c r="I58" s="97">
        <f t="shared" si="7"/>
        <v>2750</v>
      </c>
      <c r="J58" s="97">
        <f t="shared" si="7"/>
        <v>2833</v>
      </c>
      <c r="K58" s="97">
        <f t="shared" si="7"/>
        <v>3300</v>
      </c>
    </row>
    <row r="59" spans="1:11" ht="11" thickBot="1"/>
    <row r="60" spans="1:11" ht="11" thickBot="1">
      <c r="A60" s="96" t="s">
        <v>217</v>
      </c>
      <c r="B60" s="97">
        <f t="shared" ref="B60:K60" si="8">B36+B46+B58</f>
        <v>9096</v>
      </c>
      <c r="C60" s="97">
        <f t="shared" si="8"/>
        <v>7533</v>
      </c>
      <c r="D60" s="97">
        <f t="shared" si="8"/>
        <v>8875</v>
      </c>
      <c r="E60" s="97">
        <f t="shared" si="8"/>
        <v>2974</v>
      </c>
      <c r="F60" s="97">
        <f t="shared" si="8"/>
        <v>4351</v>
      </c>
      <c r="G60" s="97">
        <f t="shared" si="8"/>
        <v>3963</v>
      </c>
      <c r="H60" s="97">
        <f t="shared" si="8"/>
        <v>4551</v>
      </c>
      <c r="I60" s="97">
        <f t="shared" si="8"/>
        <v>4844</v>
      </c>
      <c r="J60" s="97">
        <f t="shared" si="8"/>
        <v>4927</v>
      </c>
      <c r="K60" s="97">
        <f t="shared" si="8"/>
        <v>5119</v>
      </c>
    </row>
    <row r="62" spans="1:11" ht="11" thickBot="1"/>
    <row r="63" spans="1:11" ht="11" thickBot="1">
      <c r="A63" s="89" t="s">
        <v>218</v>
      </c>
      <c r="B63" s="90" t="s">
        <v>19</v>
      </c>
      <c r="C63" s="90" t="s">
        <v>20</v>
      </c>
      <c r="D63" s="90" t="s">
        <v>21</v>
      </c>
      <c r="E63" s="90" t="s">
        <v>22</v>
      </c>
      <c r="F63" s="90" t="s">
        <v>23</v>
      </c>
      <c r="G63" s="90" t="s">
        <v>24</v>
      </c>
      <c r="H63" s="90" t="s">
        <v>25</v>
      </c>
      <c r="I63" s="90" t="s">
        <v>26</v>
      </c>
      <c r="J63" s="90" t="s">
        <v>27</v>
      </c>
      <c r="K63" s="90" t="s">
        <v>28</v>
      </c>
    </row>
    <row r="64" spans="1:11" ht="11" thickBot="1">
      <c r="A64" s="92" t="s">
        <v>211</v>
      </c>
      <c r="B64" s="93"/>
      <c r="C64" s="93"/>
      <c r="D64" s="93"/>
      <c r="E64" s="93"/>
      <c r="F64" s="93"/>
      <c r="G64" s="93"/>
      <c r="H64" s="93"/>
      <c r="I64" s="93"/>
      <c r="J64" s="93"/>
      <c r="K64" s="93"/>
    </row>
    <row r="65" spans="1:11" ht="11" thickBot="1">
      <c r="A65" s="102" t="s">
        <v>308</v>
      </c>
      <c r="B65" s="103"/>
      <c r="C65" s="103">
        <v>496</v>
      </c>
      <c r="D65" s="103">
        <v>1492</v>
      </c>
      <c r="E65" s="103">
        <v>1650</v>
      </c>
      <c r="F65" s="103">
        <v>1650</v>
      </c>
      <c r="G65" s="103">
        <v>1100</v>
      </c>
      <c r="H65" s="103"/>
      <c r="I65" s="103"/>
      <c r="J65" s="103"/>
      <c r="K65" s="103"/>
    </row>
    <row r="66" spans="1:11" ht="11" thickBot="1">
      <c r="A66" s="102" t="s">
        <v>309</v>
      </c>
      <c r="B66" s="103"/>
      <c r="C66" s="103">
        <v>496</v>
      </c>
      <c r="D66" s="103">
        <v>1492</v>
      </c>
      <c r="E66" s="103">
        <v>1650</v>
      </c>
      <c r="F66" s="103">
        <v>1650</v>
      </c>
      <c r="G66" s="103">
        <v>1100</v>
      </c>
      <c r="H66" s="103"/>
      <c r="I66" s="103"/>
      <c r="J66" s="103"/>
      <c r="K66" s="103"/>
    </row>
    <row r="67" spans="1:11" ht="11" thickBot="1">
      <c r="A67" s="102" t="s">
        <v>310</v>
      </c>
      <c r="B67" s="103"/>
      <c r="C67" s="103"/>
      <c r="D67" s="103"/>
      <c r="E67" s="103">
        <v>1925</v>
      </c>
      <c r="F67" s="103"/>
      <c r="G67" s="103"/>
      <c r="H67" s="103"/>
      <c r="I67" s="103"/>
      <c r="J67" s="103"/>
      <c r="K67" s="103"/>
    </row>
    <row r="68" spans="1:11" ht="11" thickBot="1">
      <c r="A68" s="96" t="s">
        <v>212</v>
      </c>
      <c r="B68" s="97">
        <f t="shared" ref="B68:K68" si="9">SUM(B65:B67)</f>
        <v>0</v>
      </c>
      <c r="C68" s="97">
        <f t="shared" si="9"/>
        <v>992</v>
      </c>
      <c r="D68" s="97">
        <f t="shared" si="9"/>
        <v>2984</v>
      </c>
      <c r="E68" s="97">
        <f t="shared" si="9"/>
        <v>5225</v>
      </c>
      <c r="F68" s="97">
        <f t="shared" si="9"/>
        <v>3300</v>
      </c>
      <c r="G68" s="97">
        <f t="shared" si="9"/>
        <v>2200</v>
      </c>
      <c r="H68" s="97">
        <f t="shared" si="9"/>
        <v>0</v>
      </c>
      <c r="I68" s="97">
        <f t="shared" si="9"/>
        <v>0</v>
      </c>
      <c r="J68" s="97">
        <f t="shared" si="9"/>
        <v>0</v>
      </c>
      <c r="K68" s="97">
        <f t="shared" si="9"/>
        <v>0</v>
      </c>
    </row>
    <row r="69" spans="1:11" ht="11" thickBot="1"/>
    <row r="70" spans="1:11" ht="11" thickBot="1">
      <c r="A70" s="92" t="s">
        <v>213</v>
      </c>
      <c r="B70" s="93"/>
      <c r="C70" s="93"/>
      <c r="D70" s="93"/>
      <c r="E70" s="93"/>
      <c r="F70" s="93"/>
      <c r="G70" s="93"/>
      <c r="H70" s="93"/>
      <c r="I70" s="93"/>
      <c r="J70" s="93"/>
      <c r="K70" s="93"/>
    </row>
    <row r="71" spans="1:11" ht="11" thickBot="1">
      <c r="A71" s="102" t="s">
        <v>311</v>
      </c>
      <c r="B71" s="103"/>
      <c r="C71" s="103"/>
      <c r="D71" s="103"/>
      <c r="E71" s="103"/>
      <c r="F71" s="103"/>
      <c r="G71" s="103"/>
      <c r="H71" s="103">
        <v>275</v>
      </c>
      <c r="I71" s="103">
        <v>550</v>
      </c>
      <c r="J71" s="103">
        <v>1100</v>
      </c>
      <c r="K71" s="103">
        <v>3300</v>
      </c>
    </row>
    <row r="72" spans="1:11" ht="11" thickBot="1">
      <c r="A72" s="102" t="s">
        <v>312</v>
      </c>
      <c r="B72" s="103"/>
      <c r="C72" s="103"/>
      <c r="D72" s="103"/>
      <c r="E72" s="103"/>
      <c r="F72" s="103"/>
      <c r="G72" s="103"/>
      <c r="H72" s="103"/>
      <c r="I72" s="103"/>
      <c r="J72" s="103">
        <v>275</v>
      </c>
      <c r="K72" s="103">
        <v>550</v>
      </c>
    </row>
    <row r="73" spans="1:11" ht="11" thickBot="1">
      <c r="A73" s="102" t="s">
        <v>313</v>
      </c>
      <c r="B73" s="103">
        <v>1256</v>
      </c>
      <c r="C73" s="103"/>
      <c r="D73" s="103"/>
      <c r="E73" s="103"/>
      <c r="F73" s="103"/>
      <c r="G73" s="103"/>
      <c r="H73" s="103"/>
      <c r="I73" s="103"/>
      <c r="J73" s="103"/>
      <c r="K73" s="103"/>
    </row>
    <row r="74" spans="1:11" ht="11" thickBot="1">
      <c r="A74" s="102" t="s">
        <v>314</v>
      </c>
      <c r="B74" s="103">
        <v>806</v>
      </c>
      <c r="C74" s="103">
        <v>1072</v>
      </c>
      <c r="D74" s="103">
        <v>3482</v>
      </c>
      <c r="E74" s="103">
        <v>2200</v>
      </c>
      <c r="F74" s="103">
        <v>2200</v>
      </c>
      <c r="G74" s="103">
        <v>2200</v>
      </c>
      <c r="H74" s="103">
        <v>1760</v>
      </c>
      <c r="I74" s="103">
        <v>715</v>
      </c>
      <c r="J74" s="103">
        <v>440</v>
      </c>
      <c r="K74" s="103"/>
    </row>
    <row r="75" spans="1:11" ht="11" thickBot="1">
      <c r="A75" s="102" t="s">
        <v>315</v>
      </c>
      <c r="B75" s="103"/>
      <c r="C75" s="103"/>
      <c r="D75" s="103"/>
      <c r="E75" s="103"/>
      <c r="F75" s="103">
        <v>110</v>
      </c>
      <c r="G75" s="103">
        <v>440</v>
      </c>
      <c r="H75" s="103">
        <v>825</v>
      </c>
      <c r="I75" s="103">
        <v>825</v>
      </c>
      <c r="J75" s="103">
        <v>550</v>
      </c>
      <c r="K75" s="103"/>
    </row>
    <row r="76" spans="1:11" ht="11" thickBot="1">
      <c r="A76" s="102" t="s">
        <v>316</v>
      </c>
      <c r="B76" s="103"/>
      <c r="C76" s="103"/>
      <c r="D76" s="103"/>
      <c r="E76" s="103"/>
      <c r="F76" s="103"/>
      <c r="G76" s="103">
        <v>176</v>
      </c>
      <c r="H76" s="103">
        <v>704</v>
      </c>
      <c r="I76" s="103">
        <v>2816</v>
      </c>
      <c r="J76" s="103"/>
      <c r="K76" s="103"/>
    </row>
    <row r="77" spans="1:11" ht="11" thickBot="1">
      <c r="A77" s="102" t="s">
        <v>317</v>
      </c>
      <c r="B77" s="103"/>
      <c r="C77" s="103">
        <v>596</v>
      </c>
      <c r="D77" s="103">
        <v>3979</v>
      </c>
      <c r="E77" s="103">
        <v>1730</v>
      </c>
      <c r="F77" s="103">
        <v>2665</v>
      </c>
      <c r="G77" s="103">
        <v>2665</v>
      </c>
      <c r="H77" s="103">
        <v>1950</v>
      </c>
      <c r="I77" s="103">
        <v>1100</v>
      </c>
      <c r="J77" s="103"/>
      <c r="K77" s="103"/>
    </row>
    <row r="78" spans="1:11" ht="11" thickBot="1">
      <c r="A78" s="102" t="s">
        <v>318</v>
      </c>
      <c r="B78" s="103">
        <v>1047</v>
      </c>
      <c r="C78" s="103">
        <v>834</v>
      </c>
      <c r="D78" s="103">
        <v>1493</v>
      </c>
      <c r="E78" s="103">
        <v>4941</v>
      </c>
      <c r="F78" s="103">
        <v>6047</v>
      </c>
      <c r="G78" s="103"/>
      <c r="H78" s="103"/>
      <c r="I78" s="103"/>
      <c r="J78" s="103"/>
      <c r="K78" s="103"/>
    </row>
    <row r="79" spans="1:11" ht="11" thickBot="1">
      <c r="A79" s="96" t="s">
        <v>214</v>
      </c>
      <c r="B79" s="97">
        <f t="shared" ref="B79:K79" si="10">SUM(B71:B78)</f>
        <v>3109</v>
      </c>
      <c r="C79" s="97">
        <f t="shared" si="10"/>
        <v>2502</v>
      </c>
      <c r="D79" s="97">
        <f t="shared" si="10"/>
        <v>8954</v>
      </c>
      <c r="E79" s="97">
        <f t="shared" si="10"/>
        <v>8871</v>
      </c>
      <c r="F79" s="97">
        <f t="shared" si="10"/>
        <v>11022</v>
      </c>
      <c r="G79" s="97">
        <f t="shared" si="10"/>
        <v>5481</v>
      </c>
      <c r="H79" s="97">
        <f t="shared" si="10"/>
        <v>5514</v>
      </c>
      <c r="I79" s="97">
        <f t="shared" si="10"/>
        <v>6006</v>
      </c>
      <c r="J79" s="97">
        <f t="shared" si="10"/>
        <v>2365</v>
      </c>
      <c r="K79" s="97">
        <f t="shared" si="10"/>
        <v>3850</v>
      </c>
    </row>
    <row r="80" spans="1:11" ht="11" thickBot="1"/>
    <row r="81" spans="1:11" ht="11" thickBot="1">
      <c r="A81" s="92" t="s">
        <v>215</v>
      </c>
      <c r="B81" s="93"/>
      <c r="C81" s="93"/>
      <c r="D81" s="93"/>
      <c r="E81" s="93"/>
      <c r="F81" s="93"/>
      <c r="G81" s="93"/>
      <c r="H81" s="93"/>
      <c r="I81" s="93"/>
      <c r="J81" s="93"/>
      <c r="K81" s="93"/>
    </row>
    <row r="82" spans="1:11" ht="11" thickBot="1">
      <c r="A82" s="102" t="s">
        <v>319</v>
      </c>
      <c r="B82" s="103">
        <v>444</v>
      </c>
      <c r="C82" s="103">
        <v>506</v>
      </c>
      <c r="D82" s="103">
        <v>507</v>
      </c>
      <c r="E82" s="103">
        <v>281</v>
      </c>
      <c r="F82" s="103">
        <v>281</v>
      </c>
      <c r="G82" s="103">
        <v>281</v>
      </c>
      <c r="H82" s="103">
        <v>281</v>
      </c>
      <c r="I82" s="103">
        <v>281</v>
      </c>
      <c r="J82" s="103">
        <v>281</v>
      </c>
      <c r="K82" s="103">
        <v>281</v>
      </c>
    </row>
    <row r="83" spans="1:11" ht="11" thickBot="1">
      <c r="A83" s="102" t="s">
        <v>320</v>
      </c>
      <c r="B83" s="103"/>
      <c r="C83" s="103"/>
      <c r="D83" s="103"/>
      <c r="E83" s="103"/>
      <c r="F83" s="103"/>
      <c r="G83" s="103">
        <v>2079</v>
      </c>
      <c r="H83" s="103">
        <v>2079</v>
      </c>
      <c r="I83" s="103">
        <v>2079</v>
      </c>
      <c r="J83" s="103">
        <v>2079</v>
      </c>
      <c r="K83" s="103">
        <v>2079</v>
      </c>
    </row>
    <row r="84" spans="1:11" ht="11" thickBot="1">
      <c r="A84" s="102" t="s">
        <v>321</v>
      </c>
      <c r="B84" s="103">
        <v>202</v>
      </c>
      <c r="C84" s="103">
        <v>50</v>
      </c>
      <c r="D84" s="103">
        <v>50</v>
      </c>
      <c r="E84" s="103"/>
      <c r="F84" s="103"/>
      <c r="G84" s="103"/>
      <c r="H84" s="103"/>
      <c r="I84" s="103"/>
      <c r="J84" s="103"/>
      <c r="K84" s="103"/>
    </row>
    <row r="85" spans="1:11" ht="11" thickBot="1">
      <c r="A85" s="96" t="s">
        <v>216</v>
      </c>
      <c r="B85" s="97">
        <f t="shared" ref="B85:K85" si="11">SUM(B82:B84)</f>
        <v>646</v>
      </c>
      <c r="C85" s="97">
        <f t="shared" si="11"/>
        <v>556</v>
      </c>
      <c r="D85" s="97">
        <f t="shared" si="11"/>
        <v>557</v>
      </c>
      <c r="E85" s="97">
        <f t="shared" si="11"/>
        <v>281</v>
      </c>
      <c r="F85" s="97">
        <f t="shared" si="11"/>
        <v>281</v>
      </c>
      <c r="G85" s="97">
        <f t="shared" si="11"/>
        <v>2360</v>
      </c>
      <c r="H85" s="97">
        <f t="shared" si="11"/>
        <v>2360</v>
      </c>
      <c r="I85" s="97">
        <f t="shared" si="11"/>
        <v>2360</v>
      </c>
      <c r="J85" s="97">
        <f t="shared" si="11"/>
        <v>2360</v>
      </c>
      <c r="K85" s="97">
        <f t="shared" si="11"/>
        <v>2360</v>
      </c>
    </row>
    <row r="86" spans="1:11" ht="11" thickBot="1"/>
    <row r="87" spans="1:11" ht="11" thickBot="1">
      <c r="A87" s="96" t="s">
        <v>219</v>
      </c>
      <c r="B87" s="97">
        <f t="shared" ref="B87:K87" si="12">B68+B79+B85</f>
        <v>3755</v>
      </c>
      <c r="C87" s="97">
        <f t="shared" si="12"/>
        <v>4050</v>
      </c>
      <c r="D87" s="97">
        <f t="shared" si="12"/>
        <v>12495</v>
      </c>
      <c r="E87" s="97">
        <f t="shared" si="12"/>
        <v>14377</v>
      </c>
      <c r="F87" s="97">
        <f t="shared" si="12"/>
        <v>14603</v>
      </c>
      <c r="G87" s="97">
        <f t="shared" si="12"/>
        <v>10041</v>
      </c>
      <c r="H87" s="97">
        <f t="shared" si="12"/>
        <v>7874</v>
      </c>
      <c r="I87" s="97">
        <f t="shared" si="12"/>
        <v>8366</v>
      </c>
      <c r="J87" s="97">
        <f t="shared" si="12"/>
        <v>4725</v>
      </c>
      <c r="K87" s="97">
        <f t="shared" si="12"/>
        <v>6210</v>
      </c>
    </row>
    <row r="89" spans="1:11" ht="11" thickBot="1"/>
    <row r="90" spans="1:11" ht="11" thickBot="1">
      <c r="A90" s="89" t="s">
        <v>220</v>
      </c>
      <c r="B90" s="90" t="s">
        <v>19</v>
      </c>
      <c r="C90" s="90" t="s">
        <v>20</v>
      </c>
      <c r="D90" s="90" t="s">
        <v>21</v>
      </c>
      <c r="E90" s="90" t="s">
        <v>22</v>
      </c>
      <c r="F90" s="90" t="s">
        <v>23</v>
      </c>
      <c r="G90" s="90" t="s">
        <v>24</v>
      </c>
      <c r="H90" s="90" t="s">
        <v>25</v>
      </c>
      <c r="I90" s="90" t="s">
        <v>26</v>
      </c>
      <c r="J90" s="90" t="s">
        <v>27</v>
      </c>
      <c r="K90" s="90" t="s">
        <v>28</v>
      </c>
    </row>
    <row r="91" spans="1:11" ht="11" thickBot="1">
      <c r="A91" s="92" t="s">
        <v>211</v>
      </c>
      <c r="B91" s="93"/>
      <c r="C91" s="93"/>
      <c r="D91" s="93"/>
      <c r="E91" s="93"/>
      <c r="F91" s="93"/>
      <c r="G91" s="93"/>
      <c r="H91" s="93"/>
      <c r="I91" s="93"/>
      <c r="J91" s="93"/>
      <c r="K91" s="93"/>
    </row>
    <row r="92" spans="1:11" ht="11" thickBot="1">
      <c r="A92" s="102"/>
      <c r="B92" s="103"/>
      <c r="C92" s="103"/>
      <c r="D92" s="103"/>
      <c r="E92" s="103"/>
      <c r="F92" s="103"/>
      <c r="G92" s="103"/>
      <c r="H92" s="103"/>
      <c r="I92" s="103"/>
      <c r="J92" s="103"/>
      <c r="K92" s="103"/>
    </row>
    <row r="93" spans="1:11" ht="11" thickBot="1">
      <c r="A93" s="102"/>
      <c r="B93" s="103"/>
      <c r="C93" s="103"/>
      <c r="D93" s="103"/>
      <c r="E93" s="103"/>
      <c r="F93" s="103"/>
      <c r="G93" s="103"/>
      <c r="H93" s="103"/>
      <c r="I93" s="103"/>
      <c r="J93" s="103"/>
      <c r="K93" s="103"/>
    </row>
    <row r="94" spans="1:11" ht="11" thickBot="1">
      <c r="A94" s="102"/>
      <c r="B94" s="103"/>
      <c r="C94" s="103"/>
      <c r="D94" s="103"/>
      <c r="E94" s="103"/>
      <c r="F94" s="103"/>
      <c r="G94" s="103"/>
      <c r="H94" s="103"/>
      <c r="I94" s="103"/>
      <c r="J94" s="103"/>
      <c r="K94" s="103"/>
    </row>
    <row r="95" spans="1:11" ht="11" thickBot="1">
      <c r="A95" s="96" t="s">
        <v>212</v>
      </c>
      <c r="B95" s="97">
        <f t="shared" ref="B95:K95" si="13">SUM(B92:B94)</f>
        <v>0</v>
      </c>
      <c r="C95" s="97">
        <f t="shared" si="13"/>
        <v>0</v>
      </c>
      <c r="D95" s="97">
        <f t="shared" si="13"/>
        <v>0</v>
      </c>
      <c r="E95" s="97">
        <f t="shared" si="13"/>
        <v>0</v>
      </c>
      <c r="F95" s="97">
        <f t="shared" si="13"/>
        <v>0</v>
      </c>
      <c r="G95" s="97">
        <f t="shared" si="13"/>
        <v>0</v>
      </c>
      <c r="H95" s="97">
        <f t="shared" si="13"/>
        <v>0</v>
      </c>
      <c r="I95" s="97">
        <f t="shared" si="13"/>
        <v>0</v>
      </c>
      <c r="J95" s="97">
        <f t="shared" si="13"/>
        <v>0</v>
      </c>
      <c r="K95" s="97">
        <f t="shared" si="13"/>
        <v>0</v>
      </c>
    </row>
    <row r="96" spans="1:11" ht="11" thickBot="1"/>
    <row r="97" spans="1:11" ht="11" thickBot="1">
      <c r="A97" s="92" t="s">
        <v>213</v>
      </c>
      <c r="B97" s="93"/>
      <c r="C97" s="93"/>
      <c r="D97" s="93"/>
      <c r="E97" s="93"/>
      <c r="F97" s="93"/>
      <c r="G97" s="93"/>
      <c r="H97" s="93"/>
      <c r="I97" s="93"/>
      <c r="J97" s="93"/>
      <c r="K97" s="93"/>
    </row>
    <row r="98" spans="1:11" ht="11" thickBot="1">
      <c r="A98" s="102" t="s">
        <v>322</v>
      </c>
      <c r="B98" s="103"/>
      <c r="C98" s="103"/>
      <c r="D98" s="103"/>
      <c r="E98" s="103">
        <v>110</v>
      </c>
      <c r="F98" s="103">
        <v>385</v>
      </c>
      <c r="G98" s="103">
        <v>935</v>
      </c>
      <c r="H98" s="103">
        <v>1650</v>
      </c>
      <c r="I98" s="103">
        <v>2200</v>
      </c>
      <c r="J98" s="103">
        <v>1788</v>
      </c>
      <c r="K98" s="103">
        <v>1183</v>
      </c>
    </row>
    <row r="99" spans="1:11" ht="11" thickBot="1">
      <c r="A99" s="102"/>
      <c r="B99" s="103"/>
      <c r="C99" s="103"/>
      <c r="D99" s="103"/>
      <c r="E99" s="103"/>
      <c r="F99" s="103"/>
      <c r="G99" s="103"/>
      <c r="H99" s="103"/>
      <c r="I99" s="103"/>
      <c r="J99" s="103"/>
      <c r="K99" s="103"/>
    </row>
    <row r="100" spans="1:11" ht="11" thickBot="1">
      <c r="A100" s="102"/>
      <c r="B100" s="103"/>
      <c r="C100" s="103"/>
      <c r="D100" s="103"/>
      <c r="E100" s="103"/>
      <c r="F100" s="103"/>
      <c r="G100" s="103"/>
      <c r="H100" s="103"/>
      <c r="I100" s="103"/>
      <c r="J100" s="103"/>
      <c r="K100" s="103"/>
    </row>
    <row r="101" spans="1:11" ht="11" thickBot="1">
      <c r="A101" s="96" t="s">
        <v>214</v>
      </c>
      <c r="B101" s="97">
        <f t="shared" ref="B101:K101" si="14">SUM(B98:B100)</f>
        <v>0</v>
      </c>
      <c r="C101" s="97">
        <f t="shared" si="14"/>
        <v>0</v>
      </c>
      <c r="D101" s="97">
        <f t="shared" si="14"/>
        <v>0</v>
      </c>
      <c r="E101" s="97">
        <f t="shared" si="14"/>
        <v>110</v>
      </c>
      <c r="F101" s="97">
        <f t="shared" si="14"/>
        <v>385</v>
      </c>
      <c r="G101" s="97">
        <f t="shared" si="14"/>
        <v>935</v>
      </c>
      <c r="H101" s="97">
        <f t="shared" si="14"/>
        <v>1650</v>
      </c>
      <c r="I101" s="97">
        <f t="shared" si="14"/>
        <v>2200</v>
      </c>
      <c r="J101" s="97">
        <f t="shared" si="14"/>
        <v>1788</v>
      </c>
      <c r="K101" s="97">
        <f t="shared" si="14"/>
        <v>1183</v>
      </c>
    </row>
    <row r="102" spans="1:11" ht="11" thickBot="1"/>
    <row r="103" spans="1:11" ht="11" thickBot="1">
      <c r="A103" s="92" t="s">
        <v>215</v>
      </c>
      <c r="B103" s="93"/>
      <c r="C103" s="93"/>
      <c r="D103" s="93"/>
      <c r="E103" s="93"/>
      <c r="F103" s="93"/>
      <c r="G103" s="93"/>
      <c r="H103" s="93"/>
      <c r="I103" s="93"/>
      <c r="J103" s="93"/>
      <c r="K103" s="93"/>
    </row>
    <row r="104" spans="1:11" ht="11" thickBot="1">
      <c r="A104" s="102" t="s">
        <v>319</v>
      </c>
      <c r="B104" s="103"/>
      <c r="C104" s="103">
        <v>293</v>
      </c>
      <c r="D104" s="103">
        <v>293</v>
      </c>
      <c r="E104" s="103">
        <v>162</v>
      </c>
      <c r="F104" s="103">
        <v>201</v>
      </c>
      <c r="G104" s="103">
        <v>187</v>
      </c>
      <c r="H104" s="103">
        <v>187</v>
      </c>
      <c r="I104" s="103">
        <v>187</v>
      </c>
      <c r="J104" s="103">
        <v>187</v>
      </c>
      <c r="K104" s="103">
        <v>187</v>
      </c>
    </row>
    <row r="105" spans="1:11" ht="11" thickBot="1">
      <c r="A105" s="102"/>
      <c r="B105" s="103"/>
      <c r="C105" s="103"/>
      <c r="D105" s="103"/>
      <c r="E105" s="103"/>
      <c r="F105" s="103"/>
      <c r="G105" s="103"/>
      <c r="H105" s="103"/>
      <c r="I105" s="103"/>
      <c r="J105" s="103"/>
      <c r="K105" s="103"/>
    </row>
    <row r="106" spans="1:11" ht="11" thickBot="1">
      <c r="A106" s="102"/>
      <c r="B106" s="103"/>
      <c r="C106" s="103"/>
      <c r="D106" s="103"/>
      <c r="E106" s="103"/>
      <c r="F106" s="103"/>
      <c r="G106" s="103"/>
      <c r="H106" s="103"/>
      <c r="I106" s="103"/>
      <c r="J106" s="103"/>
      <c r="K106" s="103"/>
    </row>
    <row r="107" spans="1:11" ht="11" thickBot="1">
      <c r="A107" s="96" t="s">
        <v>216</v>
      </c>
      <c r="B107" s="97">
        <f t="shared" ref="B107:K107" si="15">SUM(B104:B106)</f>
        <v>0</v>
      </c>
      <c r="C107" s="97">
        <f t="shared" si="15"/>
        <v>293</v>
      </c>
      <c r="D107" s="97">
        <f t="shared" si="15"/>
        <v>293</v>
      </c>
      <c r="E107" s="97">
        <f t="shared" si="15"/>
        <v>162</v>
      </c>
      <c r="F107" s="97">
        <f t="shared" si="15"/>
        <v>201</v>
      </c>
      <c r="G107" s="97">
        <f t="shared" si="15"/>
        <v>187</v>
      </c>
      <c r="H107" s="97">
        <f t="shared" si="15"/>
        <v>187</v>
      </c>
      <c r="I107" s="97">
        <f t="shared" si="15"/>
        <v>187</v>
      </c>
      <c r="J107" s="97">
        <f t="shared" si="15"/>
        <v>187</v>
      </c>
      <c r="K107" s="97">
        <f t="shared" si="15"/>
        <v>187</v>
      </c>
    </row>
    <row r="108" spans="1:11" ht="11" thickBot="1"/>
    <row r="109" spans="1:11" ht="11" thickBot="1">
      <c r="A109" s="96" t="s">
        <v>221</v>
      </c>
      <c r="B109" s="97">
        <f t="shared" ref="B109:K109" si="16">B95+B101+B107</f>
        <v>0</v>
      </c>
      <c r="C109" s="97">
        <f t="shared" si="16"/>
        <v>293</v>
      </c>
      <c r="D109" s="97">
        <f t="shared" si="16"/>
        <v>293</v>
      </c>
      <c r="E109" s="97">
        <f t="shared" si="16"/>
        <v>272</v>
      </c>
      <c r="F109" s="97">
        <f t="shared" si="16"/>
        <v>586</v>
      </c>
      <c r="G109" s="97">
        <f t="shared" si="16"/>
        <v>1122</v>
      </c>
      <c r="H109" s="97">
        <f t="shared" si="16"/>
        <v>1837</v>
      </c>
      <c r="I109" s="97">
        <f t="shared" si="16"/>
        <v>2387</v>
      </c>
      <c r="J109" s="97">
        <f t="shared" si="16"/>
        <v>1975</v>
      </c>
      <c r="K109" s="97">
        <f t="shared" si="16"/>
        <v>1370</v>
      </c>
    </row>
  </sheetData>
  <mergeCells count="2">
    <mergeCell ref="B24:E24"/>
    <mergeCell ref="F24:I24"/>
  </mergeCells>
  <pageMargins left="0.7" right="0.7" top="0.75" bottom="0.75" header="0.3" footer="0.3"/>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64E5-6E67-479E-A448-80E21E4B8907}">
  <sheetPr codeName="Sheet29">
    <pageSetUpPr fitToPage="1"/>
  </sheetPr>
  <dimension ref="A1:P98"/>
  <sheetViews>
    <sheetView topLeftCell="A96" zoomScale="72" zoomScaleNormal="100" workbookViewId="0">
      <selection activeCell="A100" sqref="A100:XFD175"/>
    </sheetView>
  </sheetViews>
  <sheetFormatPr defaultColWidth="6.6328125" defaultRowHeight="10.5"/>
  <cols>
    <col min="1" max="1" width="67.6328125" style="1" customWidth="1"/>
    <col min="2" max="2" width="1.54296875" style="1" customWidth="1"/>
    <col min="3" max="3" width="14.1796875" style="1" customWidth="1"/>
    <col min="4" max="4" width="1.90625" style="1" customWidth="1"/>
    <col min="5" max="16" width="14.1796875" style="1" customWidth="1"/>
    <col min="17" max="26" width="9.453125" style="1" customWidth="1"/>
    <col min="27" max="16384" width="6.6328125" style="1"/>
  </cols>
  <sheetData>
    <row r="1" spans="1:16" ht="11" thickBot="1">
      <c r="A1" s="104" t="s">
        <v>222</v>
      </c>
      <c r="B1" s="91"/>
      <c r="C1" s="91" t="s">
        <v>29</v>
      </c>
      <c r="D1" s="91"/>
      <c r="E1" s="91" t="s">
        <v>19</v>
      </c>
      <c r="F1" s="91" t="s">
        <v>20</v>
      </c>
      <c r="G1" s="91" t="s">
        <v>21</v>
      </c>
      <c r="H1" s="91" t="s">
        <v>22</v>
      </c>
      <c r="I1" s="91" t="s">
        <v>23</v>
      </c>
      <c r="J1" s="91" t="s">
        <v>24</v>
      </c>
      <c r="K1" s="91" t="s">
        <v>25</v>
      </c>
      <c r="L1" s="91" t="s">
        <v>26</v>
      </c>
      <c r="M1" s="91" t="s">
        <v>27</v>
      </c>
      <c r="N1" s="91" t="s">
        <v>28</v>
      </c>
      <c r="O1" s="105"/>
      <c r="P1" s="91" t="s">
        <v>158</v>
      </c>
    </row>
    <row r="2" spans="1:16" ht="11" thickBot="1">
      <c r="A2" s="106" t="s">
        <v>223</v>
      </c>
      <c r="C2" s="4"/>
      <c r="E2" s="4"/>
      <c r="F2" s="4"/>
      <c r="G2" s="4"/>
      <c r="H2" s="4"/>
      <c r="I2" s="4"/>
      <c r="J2" s="4"/>
      <c r="K2" s="4"/>
      <c r="L2" s="4"/>
      <c r="M2" s="4"/>
      <c r="N2" s="4"/>
      <c r="O2" s="105"/>
      <c r="P2" s="4"/>
    </row>
    <row r="3" spans="1:16" ht="11" thickBot="1">
      <c r="A3" s="5" t="s">
        <v>224</v>
      </c>
      <c r="C3" s="68">
        <f>'5. Financials - drinking water'!C3+'6. Financials - wastewater'!C3+'7. Financials - stormwater'!C3</f>
        <v>461.45194043359157</v>
      </c>
      <c r="E3" s="68">
        <f>'5. Financials - drinking water'!E3+'6. Financials - wastewater'!E3+'7. Financials - stormwater'!E3</f>
        <v>87</v>
      </c>
      <c r="F3" s="68">
        <f>'5. Financials - drinking water'!F3+'6. Financials - wastewater'!F3+'7. Financials - stormwater'!F3</f>
        <v>58.42192</v>
      </c>
      <c r="G3" s="68">
        <f>'5. Financials - drinking water'!G3+'6. Financials - wastewater'!G3+'7. Financials - stormwater'!G3</f>
        <v>59.493499999999997</v>
      </c>
      <c r="H3" s="68">
        <f>'5. Financials - drinking water'!H3+'6. Financials - wastewater'!H3+'7. Financials - stormwater'!H3</f>
        <v>0</v>
      </c>
      <c r="I3" s="68">
        <f>'5. Financials - drinking water'!I3+'6. Financials - wastewater'!I3+'7. Financials - stormwater'!I3</f>
        <v>0</v>
      </c>
      <c r="J3" s="68">
        <f>'5. Financials - drinking water'!J3+'6. Financials - wastewater'!J3+'7. Financials - stormwater'!J3</f>
        <v>0</v>
      </c>
      <c r="K3" s="68">
        <f>'5. Financials - drinking water'!K3+'6. Financials - wastewater'!K3+'7. Financials - stormwater'!K3</f>
        <v>0</v>
      </c>
      <c r="L3" s="68">
        <f>'5. Financials - drinking water'!L3+'6. Financials - wastewater'!L3+'7. Financials - stormwater'!L3</f>
        <v>0</v>
      </c>
      <c r="M3" s="68">
        <f>'5. Financials - drinking water'!M3+'6. Financials - wastewater'!M3+'7. Financials - stormwater'!M3</f>
        <v>0</v>
      </c>
      <c r="N3" s="68">
        <f>'5. Financials - drinking water'!N3+'6. Financials - wastewater'!N3+'7. Financials - stormwater'!N3</f>
        <v>0</v>
      </c>
      <c r="P3" s="107">
        <f>SUM(E3:N3)</f>
        <v>204.91541999999998</v>
      </c>
    </row>
    <row r="4" spans="1:16" ht="11" thickBot="1">
      <c r="A4" s="5" t="s">
        <v>225</v>
      </c>
      <c r="C4" s="68">
        <f>'5. Financials - drinking water'!C4+'6. Financials - wastewater'!C4+'7. Financials - stormwater'!C4</f>
        <v>8162.6150799999996</v>
      </c>
      <c r="E4" s="68">
        <f>'5. Financials - drinking water'!E4+'6. Financials - wastewater'!E4+'7. Financials - stormwater'!E4</f>
        <v>10843</v>
      </c>
      <c r="F4" s="68">
        <f>'5. Financials - drinking water'!F4+'6. Financials - wastewater'!F4+'7. Financials - stormwater'!F4</f>
        <v>11814.952719999999</v>
      </c>
      <c r="G4" s="68">
        <f>'5. Financials - drinking water'!G4+'6. Financials - wastewater'!G4+'7. Financials - stormwater'!G4</f>
        <v>12818.861489999999</v>
      </c>
      <c r="H4" s="68">
        <f>'5. Financials - drinking water'!H4+'6. Financials - wastewater'!H4+'7. Financials - stormwater'!H4</f>
        <v>15156.760306275144</v>
      </c>
      <c r="I4" s="68">
        <f>'5. Financials - drinking water'!I4+'6. Financials - wastewater'!I4+'7. Financials - stormwater'!I4</f>
        <v>17409.347272114104</v>
      </c>
      <c r="J4" s="68">
        <f>'5. Financials - drinking water'!J4+'6. Financials - wastewater'!J4+'7. Financials - stormwater'!J4</f>
        <v>19991.187725315736</v>
      </c>
      <c r="K4" s="68">
        <f>'5. Financials - drinking water'!K4+'6. Financials - wastewater'!K4+'7. Financials - stormwater'!K4</f>
        <v>22956.697552498499</v>
      </c>
      <c r="L4" s="68">
        <f>'5. Financials - drinking water'!L4+'6. Financials - wastewater'!L4+'7. Financials - stormwater'!L4</f>
        <v>26356.73977715848</v>
      </c>
      <c r="M4" s="68">
        <f>'5. Financials - drinking water'!M4+'6. Financials - wastewater'!M4+'7. Financials - stormwater'!M4</f>
        <v>25756.569621104129</v>
      </c>
      <c r="N4" s="68">
        <f>'5. Financials - drinking water'!N4+'6. Financials - wastewater'!N4+'7. Financials - stormwater'!N4</f>
        <v>26706.473746585852</v>
      </c>
      <c r="P4" s="107">
        <f>SUM(E4:N4)</f>
        <v>189810.59021105198</v>
      </c>
    </row>
    <row r="5" spans="1:16" ht="11" thickBot="1">
      <c r="A5" s="5" t="s">
        <v>226</v>
      </c>
      <c r="C5" s="68">
        <f>'5. Financials - drinking water'!C5+'6. Financials - wastewater'!C5+'7. Financials - stormwater'!C5</f>
        <v>183.30226000000002</v>
      </c>
      <c r="E5" s="68">
        <f>'5. Financials - drinking water'!E5+'6. Financials - wastewater'!E5+'7. Financials - stormwater'!E5</f>
        <v>1000</v>
      </c>
      <c r="F5" s="68">
        <f>'5. Financials - drinking water'!F5+'6. Financials - wastewater'!F5+'7. Financials - stormwater'!F5</f>
        <v>541.63125000000002</v>
      </c>
      <c r="G5" s="68">
        <f>'5. Financials - drinking water'!G5+'6. Financials - wastewater'!G5+'7. Financials - stormwater'!G5</f>
        <v>0</v>
      </c>
      <c r="H5" s="68">
        <f>'5. Financials - drinking water'!H5+'6. Financials - wastewater'!H5+'7. Financials - stormwater'!H5</f>
        <v>0</v>
      </c>
      <c r="I5" s="68">
        <f>'5. Financials - drinking water'!I5+'6. Financials - wastewater'!I5+'7. Financials - stormwater'!I5</f>
        <v>0</v>
      </c>
      <c r="J5" s="68">
        <f>'5. Financials - drinking water'!J5+'6. Financials - wastewater'!J5+'7. Financials - stormwater'!J5</f>
        <v>0</v>
      </c>
      <c r="K5" s="68">
        <f>'5. Financials - drinking water'!K5+'6. Financials - wastewater'!K5+'7. Financials - stormwater'!K5</f>
        <v>0</v>
      </c>
      <c r="L5" s="68">
        <f>'5. Financials - drinking water'!L5+'6. Financials - wastewater'!L5+'7. Financials - stormwater'!L5</f>
        <v>0</v>
      </c>
      <c r="M5" s="68">
        <f>'5. Financials - drinking water'!M5+'6. Financials - wastewater'!M5+'7. Financials - stormwater'!M5</f>
        <v>0</v>
      </c>
      <c r="N5" s="68">
        <f>'5. Financials - drinking water'!N5+'6. Financials - wastewater'!N5+'7. Financials - stormwater'!N5</f>
        <v>0</v>
      </c>
      <c r="P5" s="107">
        <f>SUM(E5:N5)</f>
        <v>1541.6312499999999</v>
      </c>
    </row>
    <row r="6" spans="1:16" ht="11" thickBot="1">
      <c r="A6" s="5" t="s">
        <v>227</v>
      </c>
      <c r="C6" s="68">
        <f>'5. Financials - drinking water'!C6+'6. Financials - wastewater'!C6+'7. Financials - stormwater'!C6</f>
        <v>456.52440719999998</v>
      </c>
      <c r="E6" s="68">
        <f>'5. Financials - drinking water'!E6+'6. Financials - wastewater'!E6+'7. Financials - stormwater'!E6</f>
        <v>0</v>
      </c>
      <c r="F6" s="68">
        <f>'5. Financials - drinking water'!F6+'6. Financials - wastewater'!F6+'7. Financials - stormwater'!F6</f>
        <v>125.53125</v>
      </c>
      <c r="G6" s="68">
        <f>'5. Financials - drinking water'!G6+'6. Financials - wastewater'!G6+'7. Financials - stormwater'!G6</f>
        <v>0</v>
      </c>
      <c r="H6" s="68">
        <f>'5. Financials - drinking water'!H6+'6. Financials - wastewater'!H6+'7. Financials - stormwater'!H6</f>
        <v>0</v>
      </c>
      <c r="I6" s="68">
        <f>'5. Financials - drinking water'!I6+'6. Financials - wastewater'!I6+'7. Financials - stormwater'!I6</f>
        <v>0</v>
      </c>
      <c r="J6" s="68">
        <f>'5. Financials - drinking water'!J6+'6. Financials - wastewater'!J6+'7. Financials - stormwater'!J6</f>
        <v>0</v>
      </c>
      <c r="K6" s="68">
        <f>'5. Financials - drinking water'!K6+'6. Financials - wastewater'!K6+'7. Financials - stormwater'!K6</f>
        <v>0</v>
      </c>
      <c r="L6" s="68">
        <f>'5. Financials - drinking water'!L6+'6. Financials - wastewater'!L6+'7. Financials - stormwater'!L6</f>
        <v>0</v>
      </c>
      <c r="M6" s="68">
        <f>'5. Financials - drinking water'!M6+'6. Financials - wastewater'!M6+'7. Financials - stormwater'!M6</f>
        <v>0</v>
      </c>
      <c r="N6" s="68">
        <f>'5. Financials - drinking water'!N6+'6. Financials - wastewater'!N6+'7. Financials - stormwater'!N6</f>
        <v>0</v>
      </c>
      <c r="P6" s="107">
        <f>SUM(E6:N6)</f>
        <v>125.53125</v>
      </c>
    </row>
    <row r="7" spans="1:16" ht="11" thickBot="1">
      <c r="A7" s="5" t="s">
        <v>228</v>
      </c>
      <c r="C7" s="68">
        <f>'5. Financials - drinking water'!C7+'6. Financials - wastewater'!C7+'7. Financials - stormwater'!C7</f>
        <v>97.544790000000006</v>
      </c>
      <c r="E7" s="68">
        <f>'5. Financials - drinking water'!E7+'6. Financials - wastewater'!E7+'7. Financials - stormwater'!E7</f>
        <v>45</v>
      </c>
      <c r="F7" s="68">
        <f>'5. Financials - drinking water'!F7+'6. Financials - wastewater'!F7+'7. Financials - stormwater'!F7</f>
        <v>39.6</v>
      </c>
      <c r="G7" s="68">
        <f>'5. Financials - drinking water'!G7+'6. Financials - wastewater'!G7+'7. Financials - stormwater'!G7</f>
        <v>39.6</v>
      </c>
      <c r="H7" s="68">
        <f>'5. Financials - drinking water'!H7+'6. Financials - wastewater'!H7+'7. Financials - stormwater'!H7</f>
        <v>39.6</v>
      </c>
      <c r="I7" s="68">
        <f>'5. Financials - drinking water'!I7+'6. Financials - wastewater'!I7+'7. Financials - stormwater'!I7</f>
        <v>39.6</v>
      </c>
      <c r="J7" s="68">
        <f>'5. Financials - drinking water'!J7+'6. Financials - wastewater'!J7+'7. Financials - stormwater'!J7</f>
        <v>39.6</v>
      </c>
      <c r="K7" s="68">
        <f>'5. Financials - drinking water'!K7+'6. Financials - wastewater'!K7+'7. Financials - stormwater'!K7</f>
        <v>39.6</v>
      </c>
      <c r="L7" s="68">
        <f>'5. Financials - drinking water'!L7+'6. Financials - wastewater'!L7+'7. Financials - stormwater'!L7</f>
        <v>39.6</v>
      </c>
      <c r="M7" s="68">
        <f>'5. Financials - drinking water'!M7+'6. Financials - wastewater'!M7+'7. Financials - stormwater'!M7</f>
        <v>39.6</v>
      </c>
      <c r="N7" s="68">
        <f>'5. Financials - drinking water'!N7+'6. Financials - wastewater'!N7+'7. Financials - stormwater'!N7</f>
        <v>39.6</v>
      </c>
      <c r="P7" s="107">
        <f>SUM(E7:N7)</f>
        <v>401.40000000000003</v>
      </c>
    </row>
    <row r="8" spans="1:16" ht="11" thickBot="1">
      <c r="A8" s="108" t="s">
        <v>229</v>
      </c>
      <c r="C8" s="13">
        <f>SUM(C3:C7)</f>
        <v>9361.4384776335919</v>
      </c>
      <c r="E8" s="13">
        <f t="shared" ref="E8:N8" si="0">SUM(E3:E7)</f>
        <v>11975</v>
      </c>
      <c r="F8" s="13">
        <f t="shared" si="0"/>
        <v>12580.137140000001</v>
      </c>
      <c r="G8" s="13">
        <f t="shared" si="0"/>
        <v>12917.95499</v>
      </c>
      <c r="H8" s="13">
        <f t="shared" si="0"/>
        <v>15196.360306275144</v>
      </c>
      <c r="I8" s="13">
        <f t="shared" si="0"/>
        <v>17448.947272114103</v>
      </c>
      <c r="J8" s="13">
        <f t="shared" si="0"/>
        <v>20030.787725315735</v>
      </c>
      <c r="K8" s="13">
        <f t="shared" si="0"/>
        <v>22996.297552498498</v>
      </c>
      <c r="L8" s="13">
        <f t="shared" si="0"/>
        <v>26396.339777158479</v>
      </c>
      <c r="M8" s="13">
        <f t="shared" si="0"/>
        <v>25796.169621104127</v>
      </c>
      <c r="N8" s="13">
        <f t="shared" si="0"/>
        <v>26746.073746585851</v>
      </c>
      <c r="P8" s="13">
        <f>SUM(P3:P7)</f>
        <v>192084.06813105199</v>
      </c>
    </row>
    <row r="9" spans="1:16" ht="5.25" customHeight="1" thickBot="1">
      <c r="A9" s="76"/>
      <c r="E9" s="109"/>
      <c r="F9" s="109"/>
      <c r="G9" s="109"/>
      <c r="H9" s="109"/>
      <c r="I9" s="109"/>
      <c r="J9" s="109"/>
      <c r="K9" s="109"/>
      <c r="L9" s="109"/>
      <c r="M9" s="109"/>
      <c r="N9" s="109"/>
    </row>
    <row r="10" spans="1:16" ht="11" thickBot="1">
      <c r="A10" s="106" t="s">
        <v>230</v>
      </c>
      <c r="C10" s="4"/>
      <c r="E10" s="4"/>
      <c r="F10" s="4"/>
      <c r="G10" s="4"/>
      <c r="H10" s="4"/>
      <c r="I10" s="4"/>
      <c r="J10" s="4"/>
      <c r="K10" s="4"/>
      <c r="L10" s="4"/>
      <c r="M10" s="4"/>
      <c r="N10" s="4"/>
      <c r="O10" s="105"/>
      <c r="P10" s="4"/>
    </row>
    <row r="11" spans="1:16" ht="11" thickBot="1">
      <c r="A11" s="5" t="s">
        <v>231</v>
      </c>
      <c r="C11" s="68">
        <f>'5. Financials - drinking water'!C11+'6. Financials - wastewater'!C11+'7. Financials - stormwater'!C11</f>
        <v>5775.9862200000007</v>
      </c>
      <c r="E11" s="68">
        <f>'5. Financials - drinking water'!E11+'6. Financials - wastewater'!E11+'7. Financials - stormwater'!E11</f>
        <v>8754</v>
      </c>
      <c r="F11" s="68">
        <f>'5. Financials - drinking water'!F11+'6. Financials - wastewater'!F11+'7. Financials - stormwater'!F11</f>
        <v>8746.4249999999993</v>
      </c>
      <c r="G11" s="68">
        <f>'5. Financials - drinking water'!G11+'6. Financials - wastewater'!G11+'7. Financials - stormwater'!G11</f>
        <v>7233.1871899999996</v>
      </c>
      <c r="H11" s="68">
        <f>'5. Financials - drinking water'!H11+'6. Financials - wastewater'!H11+'7. Financials - stormwater'!H11</f>
        <v>7268.4439321004766</v>
      </c>
      <c r="I11" s="68">
        <f>'5. Financials - drinking water'!I11+'6. Financials - wastewater'!I11+'7. Financials - stormwater'!I11</f>
        <v>8882.3041104029908</v>
      </c>
      <c r="J11" s="68">
        <f>'5. Financials - drinking water'!J11+'6. Financials - wastewater'!J11+'7. Financials - stormwater'!J11</f>
        <v>7958.6669354235792</v>
      </c>
      <c r="K11" s="68">
        <f>'5. Financials - drinking water'!K11+'6. Financials - wastewater'!K11+'7. Financials - stormwater'!K11</f>
        <v>7194.0963297149201</v>
      </c>
      <c r="L11" s="68">
        <f>'5. Financials - drinking water'!L11+'6. Financials - wastewater'!L11+'7. Financials - stormwater'!L11</f>
        <v>7975.6172691088741</v>
      </c>
      <c r="M11" s="68">
        <f>'5. Financials - drinking water'!M11+'6. Financials - wastewater'!M11+'7. Financials - stormwater'!M11</f>
        <v>7211.1768552322346</v>
      </c>
      <c r="N11" s="68">
        <f>'5. Financials - drinking water'!N11+'6. Financials - wastewater'!N11+'7. Financials - stormwater'!N11</f>
        <v>7993.3993625572421</v>
      </c>
      <c r="P11" s="107">
        <f>SUM(E11:N11)</f>
        <v>79217.316984540317</v>
      </c>
    </row>
    <row r="12" spans="1:16" ht="11" thickBot="1">
      <c r="A12" s="5" t="s">
        <v>232</v>
      </c>
      <c r="C12" s="68">
        <f>'5. Financials - drinking water'!C12+'6. Financials - wastewater'!C12+'7. Financials - stormwater'!C12</f>
        <v>673.51027999999997</v>
      </c>
      <c r="E12" s="68">
        <f>'5. Financials - drinking water'!E12+'6. Financials - wastewater'!E12+'7. Financials - stormwater'!E12</f>
        <v>951.2</v>
      </c>
      <c r="F12" s="68">
        <f>'5. Financials - drinking water'!F12+'6. Financials - wastewater'!F12+'7. Financials - stormwater'!F12</f>
        <v>1529.97345</v>
      </c>
      <c r="G12" s="68">
        <f>'5. Financials - drinking water'!G12+'6. Financials - wastewater'!G12+'7. Financials - stormwater'!G12</f>
        <v>2235.6697300000001</v>
      </c>
      <c r="H12" s="68">
        <f>'5. Financials - drinking water'!H12+'6. Financials - wastewater'!H12+'7. Financials - stormwater'!H12</f>
        <v>4154.2323205597595</v>
      </c>
      <c r="I12" s="68">
        <f>'5. Financials - drinking water'!I12+'6. Financials - wastewater'!I12+'7. Financials - stormwater'!I12</f>
        <v>5055.6367328567703</v>
      </c>
      <c r="J12" s="68">
        <f>'5. Financials - drinking water'!J12+'6. Financials - wastewater'!J12+'7. Financials - stormwater'!J12</f>
        <v>5814.0986302414794</v>
      </c>
      <c r="K12" s="68">
        <f>'5. Financials - drinking water'!K12+'6. Financials - wastewater'!K12+'7. Financials - stormwater'!K12</f>
        <v>6281.3180280776523</v>
      </c>
      <c r="L12" s="68">
        <f>'5. Financials - drinking water'!L12+'6. Financials - wastewater'!L12+'7. Financials - stormwater'!L12</f>
        <v>6596.7847100016979</v>
      </c>
      <c r="M12" s="68">
        <f>'5. Financials - drinking water'!M12+'6. Financials - wastewater'!M12+'7. Financials - stormwater'!M12</f>
        <v>6752.5349468488575</v>
      </c>
      <c r="N12" s="68">
        <f>'5. Financials - drinking water'!N12+'6. Financials - wastewater'!N12+'7. Financials - stormwater'!N12</f>
        <v>6811.8158357505545</v>
      </c>
      <c r="P12" s="107">
        <f>SUM(E12:N12)</f>
        <v>46183.264384336777</v>
      </c>
    </row>
    <row r="13" spans="1:16" ht="11" thickBot="1">
      <c r="A13" s="5" t="s">
        <v>233</v>
      </c>
      <c r="C13" s="68">
        <f>'5. Financials - drinking water'!C13+'6. Financials - wastewater'!C13+'7. Financials - stormwater'!C13</f>
        <v>656.70126999999991</v>
      </c>
      <c r="E13" s="68">
        <f>'5. Financials - drinking water'!E13+'6. Financials - wastewater'!E13+'7. Financials - stormwater'!E13</f>
        <v>1017.6</v>
      </c>
      <c r="F13" s="68">
        <f>'5. Financials - drinking water'!F13+'6. Financials - wastewater'!F13+'7. Financials - stormwater'!F13</f>
        <v>980.22113000000002</v>
      </c>
      <c r="G13" s="68">
        <f>'5. Financials - drinking water'!G13+'6. Financials - wastewater'!G13+'7. Financials - stormwater'!G13</f>
        <v>998.24672999999996</v>
      </c>
      <c r="H13" s="68">
        <f>'5. Financials - drinking water'!H13+'6. Financials - wastewater'!H13+'7. Financials - stormwater'!H13</f>
        <v>857.39740000000006</v>
      </c>
      <c r="I13" s="68">
        <f>'5. Financials - drinking water'!I13+'6. Financials - wastewater'!I13+'7. Financials - stormwater'!I13</f>
        <v>855.63553000000013</v>
      </c>
      <c r="J13" s="68">
        <f>'5. Financials - drinking water'!J13+'6. Financials - wastewater'!J13+'7. Financials - stormwater'!J13</f>
        <v>883.47700000000009</v>
      </c>
      <c r="K13" s="68">
        <f>'5. Financials - drinking water'!K13+'6. Financials - wastewater'!K13+'7. Financials - stormwater'!K13</f>
        <v>873.51201000000003</v>
      </c>
      <c r="L13" s="68">
        <f>'5. Financials - drinking water'!L13+'6. Financials - wastewater'!L13+'7. Financials - stormwater'!L13</f>
        <v>881.44894999999985</v>
      </c>
      <c r="M13" s="68">
        <f>'5. Financials - drinking water'!M13+'6. Financials - wastewater'!M13+'7. Financials - stormwater'!M13</f>
        <v>875.81367000000012</v>
      </c>
      <c r="N13" s="68">
        <f>'5. Financials - drinking water'!N13+'6. Financials - wastewater'!N13+'7. Financials - stormwater'!N13</f>
        <v>879.87742999999989</v>
      </c>
      <c r="P13" s="107">
        <f>SUM(E13:N13)</f>
        <v>9103.2298500000015</v>
      </c>
    </row>
    <row r="14" spans="1:16" ht="11" thickBot="1">
      <c r="A14" s="5" t="s">
        <v>234</v>
      </c>
      <c r="C14" s="68">
        <f>'5. Financials - drinking water'!C14+'6. Financials - wastewater'!C14+'7. Financials - stormwater'!C14</f>
        <v>0</v>
      </c>
      <c r="E14" s="68">
        <f>'5. Financials - drinking water'!E14+'6. Financials - wastewater'!E14+'7. Financials - stormwater'!E14</f>
        <v>0</v>
      </c>
      <c r="F14" s="68">
        <f>'5. Financials - drinking water'!F14+'6. Financials - wastewater'!F14+'7. Financials - stormwater'!F14</f>
        <v>0</v>
      </c>
      <c r="G14" s="68">
        <f>'5. Financials - drinking water'!G14+'6. Financials - wastewater'!G14+'7. Financials - stormwater'!G14</f>
        <v>0</v>
      </c>
      <c r="H14" s="68">
        <f>'5. Financials - drinking water'!H14+'6. Financials - wastewater'!H14+'7. Financials - stormwater'!H14</f>
        <v>0</v>
      </c>
      <c r="I14" s="68">
        <f>'5. Financials - drinking water'!I14+'6. Financials - wastewater'!I14+'7. Financials - stormwater'!I14</f>
        <v>0</v>
      </c>
      <c r="J14" s="68">
        <f>'5. Financials - drinking water'!J14+'6. Financials - wastewater'!J14+'7. Financials - stormwater'!J14</f>
        <v>0</v>
      </c>
      <c r="K14" s="68">
        <f>'5. Financials - drinking water'!K14+'6. Financials - wastewater'!K14+'7. Financials - stormwater'!K14</f>
        <v>0</v>
      </c>
      <c r="L14" s="68">
        <f>'5. Financials - drinking water'!L14+'6. Financials - wastewater'!L14+'7. Financials - stormwater'!L14</f>
        <v>0</v>
      </c>
      <c r="M14" s="68">
        <f>'5. Financials - drinking water'!M14+'6. Financials - wastewater'!M14+'7. Financials - stormwater'!M14</f>
        <v>0</v>
      </c>
      <c r="N14" s="68">
        <f>'5. Financials - drinking water'!N14+'6. Financials - wastewater'!N14+'7. Financials - stormwater'!N14</f>
        <v>0</v>
      </c>
      <c r="P14" s="107">
        <f>SUM(E14:N14)</f>
        <v>0</v>
      </c>
    </row>
    <row r="15" spans="1:16" ht="11" thickBot="1">
      <c r="A15" s="108" t="s">
        <v>235</v>
      </c>
      <c r="C15" s="13">
        <f>SUM(C11:C14)</f>
        <v>7106.1977700000007</v>
      </c>
      <c r="E15" s="13">
        <f t="shared" ref="E15:N15" si="1">SUM(E11:E14)</f>
        <v>10722.800000000001</v>
      </c>
      <c r="F15" s="13">
        <f t="shared" si="1"/>
        <v>11256.619579999999</v>
      </c>
      <c r="G15" s="13">
        <f t="shared" si="1"/>
        <v>10467.103650000001</v>
      </c>
      <c r="H15" s="13">
        <f t="shared" si="1"/>
        <v>12280.073652660236</v>
      </c>
      <c r="I15" s="13">
        <f t="shared" si="1"/>
        <v>14793.576373259761</v>
      </c>
      <c r="J15" s="13">
        <f t="shared" si="1"/>
        <v>14656.242565665059</v>
      </c>
      <c r="K15" s="13">
        <f t="shared" si="1"/>
        <v>14348.926367792572</v>
      </c>
      <c r="L15" s="13">
        <f t="shared" si="1"/>
        <v>15453.850929110571</v>
      </c>
      <c r="M15" s="13">
        <f t="shared" si="1"/>
        <v>14839.525472081092</v>
      </c>
      <c r="N15" s="13">
        <f t="shared" si="1"/>
        <v>15685.092628307797</v>
      </c>
      <c r="P15" s="13">
        <f>SUM(P11:P14)</f>
        <v>134503.81121887709</v>
      </c>
    </row>
    <row r="16" spans="1:16" ht="5.25" customHeight="1" thickBot="1">
      <c r="A16" s="110"/>
    </row>
    <row r="17" spans="1:16" ht="11" thickBot="1">
      <c r="A17" s="108" t="s">
        <v>236</v>
      </c>
      <c r="C17" s="13">
        <f>C8-C15</f>
        <v>2255.2407076335912</v>
      </c>
      <c r="E17" s="13">
        <f t="shared" ref="E17:N17" si="2">E8-E15</f>
        <v>1252.1999999999989</v>
      </c>
      <c r="F17" s="13">
        <f t="shared" si="2"/>
        <v>1323.517560000002</v>
      </c>
      <c r="G17" s="13">
        <f t="shared" si="2"/>
        <v>2450.8513399999993</v>
      </c>
      <c r="H17" s="13">
        <f t="shared" si="2"/>
        <v>2916.2866536149086</v>
      </c>
      <c r="I17" s="13">
        <f t="shared" si="2"/>
        <v>2655.3708988543422</v>
      </c>
      <c r="J17" s="13">
        <f t="shared" si="2"/>
        <v>5374.5451596506755</v>
      </c>
      <c r="K17" s="13">
        <f t="shared" si="2"/>
        <v>8647.3711847059258</v>
      </c>
      <c r="L17" s="13">
        <f t="shared" si="2"/>
        <v>10942.488848047908</v>
      </c>
      <c r="M17" s="13">
        <f t="shared" si="2"/>
        <v>10956.644149023035</v>
      </c>
      <c r="N17" s="13">
        <f t="shared" si="2"/>
        <v>11060.981118278054</v>
      </c>
      <c r="P17" s="13">
        <f>P8-P15</f>
        <v>57580.256912174897</v>
      </c>
    </row>
    <row r="18" spans="1:16" ht="5.25" customHeight="1" thickBot="1">
      <c r="A18" s="76"/>
    </row>
    <row r="19" spans="1:16" ht="11" thickBot="1">
      <c r="A19" s="106" t="s">
        <v>237</v>
      </c>
      <c r="C19" s="4"/>
      <c r="E19" s="4"/>
      <c r="F19" s="4"/>
      <c r="G19" s="4"/>
      <c r="H19" s="4"/>
      <c r="I19" s="4"/>
      <c r="J19" s="4"/>
      <c r="K19" s="4"/>
      <c r="L19" s="4"/>
      <c r="M19" s="4"/>
      <c r="N19" s="4"/>
      <c r="O19" s="105"/>
      <c r="P19" s="4"/>
    </row>
    <row r="20" spans="1:16" ht="11" thickBot="1">
      <c r="A20" s="5" t="s">
        <v>238</v>
      </c>
      <c r="C20" s="68">
        <f>'5. Financials - drinking water'!C20+'6. Financials - wastewater'!C20+'7. Financials - stormwater'!C20</f>
        <v>0</v>
      </c>
      <c r="E20" s="68">
        <f>'5. Financials - drinking water'!E20+'6. Financials - wastewater'!E20+'7. Financials - stormwater'!E20</f>
        <v>0</v>
      </c>
      <c r="F20" s="68">
        <f>'5. Financials - drinking water'!F20+'6. Financials - wastewater'!F20+'7. Financials - stormwater'!F20</f>
        <v>0</v>
      </c>
      <c r="G20" s="68">
        <f>'5. Financials - drinking water'!G20+'6. Financials - wastewater'!G20+'7. Financials - stormwater'!G20</f>
        <v>0</v>
      </c>
      <c r="H20" s="68">
        <f>'5. Financials - drinking water'!H20+'6. Financials - wastewater'!H20+'7. Financials - stormwater'!H20</f>
        <v>0</v>
      </c>
      <c r="I20" s="68">
        <f>'5. Financials - drinking water'!I20+'6. Financials - wastewater'!I20+'7. Financials - stormwater'!I20</f>
        <v>0</v>
      </c>
      <c r="J20" s="68">
        <f>'5. Financials - drinking water'!J20+'6. Financials - wastewater'!J20+'7. Financials - stormwater'!J20</f>
        <v>0</v>
      </c>
      <c r="K20" s="68">
        <f>'5. Financials - drinking water'!K20+'6. Financials - wastewater'!K20+'7. Financials - stormwater'!K20</f>
        <v>0</v>
      </c>
      <c r="L20" s="68">
        <f>'5. Financials - drinking water'!L20+'6. Financials - wastewater'!L20+'7. Financials - stormwater'!L20</f>
        <v>0</v>
      </c>
      <c r="M20" s="68">
        <f>'5. Financials - drinking water'!M20+'6. Financials - wastewater'!M20+'7. Financials - stormwater'!M20</f>
        <v>0</v>
      </c>
      <c r="N20" s="68">
        <f>'5. Financials - drinking water'!N20+'6. Financials - wastewater'!N20+'7. Financials - stormwater'!N20</f>
        <v>0</v>
      </c>
      <c r="P20" s="107">
        <f>SUM(E20:N20)</f>
        <v>0</v>
      </c>
    </row>
    <row r="21" spans="1:16" ht="11" thickBot="1">
      <c r="A21" s="5" t="s">
        <v>239</v>
      </c>
      <c r="C21" s="68">
        <f>'5. Financials - drinking water'!C21+'6. Financials - wastewater'!C21+'7. Financials - stormwater'!C21</f>
        <v>718.21627000000001</v>
      </c>
      <c r="E21" s="68">
        <f>'5. Financials - drinking water'!E21+'6. Financials - wastewater'!E21+'7. Financials - stormwater'!E21</f>
        <v>415.8</v>
      </c>
      <c r="F21" s="68">
        <f>'5. Financials - drinking water'!F21+'6. Financials - wastewater'!F21+'7. Financials - stormwater'!F21</f>
        <v>399.90899999999999</v>
      </c>
      <c r="G21" s="68">
        <f>'5. Financials - drinking water'!G21+'6. Financials - wastewater'!G21+'7. Financials - stormwater'!G21</f>
        <v>399.90899999999999</v>
      </c>
      <c r="H21" s="68">
        <f>'5. Financials - drinking water'!H21+'6. Financials - wastewater'!H21+'7. Financials - stormwater'!H21</f>
        <v>399.90899999999999</v>
      </c>
      <c r="I21" s="68">
        <f>'5. Financials - drinking water'!I21+'6. Financials - wastewater'!I21+'7. Financials - stormwater'!I21</f>
        <v>399.90899999999999</v>
      </c>
      <c r="J21" s="68">
        <f>'5. Financials - drinking water'!J21+'6. Financials - wastewater'!J21+'7. Financials - stormwater'!J21</f>
        <v>399.90899999999999</v>
      </c>
      <c r="K21" s="68">
        <f>'5. Financials - drinking water'!K21+'6. Financials - wastewater'!K21+'7. Financials - stormwater'!K21</f>
        <v>399.90899999999999</v>
      </c>
      <c r="L21" s="68">
        <f>'5. Financials - drinking water'!L21+'6. Financials - wastewater'!L21+'7. Financials - stormwater'!L21</f>
        <v>399.90899999999999</v>
      </c>
      <c r="M21" s="68">
        <f>'5. Financials - drinking water'!M21+'6. Financials - wastewater'!M21+'7. Financials - stormwater'!M21</f>
        <v>399.90899999999999</v>
      </c>
      <c r="N21" s="68">
        <f>'5. Financials - drinking water'!N21+'6. Financials - wastewater'!N21+'7. Financials - stormwater'!N21</f>
        <v>399.90899999999999</v>
      </c>
      <c r="P21" s="107">
        <f>SUM(E21:N21)</f>
        <v>4014.9810000000007</v>
      </c>
    </row>
    <row r="22" spans="1:16" ht="11" thickBot="1">
      <c r="A22" s="5" t="s">
        <v>240</v>
      </c>
      <c r="C22" s="68">
        <f>'5. Financials - drinking water'!C22+'6. Financials - wastewater'!C22+'7. Financials - stormwater'!C22</f>
        <v>-502.68</v>
      </c>
      <c r="E22" s="68">
        <f>'5. Financials - drinking water'!E22+'6. Financials - wastewater'!E22+'7. Financials - stormwater'!E22</f>
        <v>10609.6</v>
      </c>
      <c r="F22" s="68">
        <f>'5. Financials - drinking water'!F22+'6. Financials - wastewater'!F22+'7. Financials - stormwater'!F22</f>
        <v>11764.735560000001</v>
      </c>
      <c r="G22" s="68">
        <f>'5. Financials - drinking water'!G22+'6. Financials - wastewater'!G22+'7. Financials - stormwater'!G22</f>
        <v>16856.942800000004</v>
      </c>
      <c r="H22" s="68">
        <f>'5. Financials - drinking water'!H22+'6. Financials - wastewater'!H22+'7. Financials - stormwater'!H22</f>
        <v>14607.42300588509</v>
      </c>
      <c r="I22" s="68">
        <f>'5. Financials - drinking water'!I22+'6. Financials - wastewater'!I22+'7. Financials - stormwater'!I22</f>
        <v>15387.671479645654</v>
      </c>
      <c r="J22" s="68">
        <f>'5. Financials - drinking water'!J22+'6. Financials - wastewater'!J22+'7. Financials - stormwater'!J22</f>
        <v>9355.4031038959911</v>
      </c>
      <c r="K22" s="68">
        <f>'5. Financials - drinking water'!K22+'6. Financials - wastewater'!K22+'7. Financials - stormwater'!K22</f>
        <v>5166.2790318126172</v>
      </c>
      <c r="L22" s="68">
        <f>'5. Financials - drinking water'!L22+'6. Financials - wastewater'!L22+'7. Financials - stormwater'!L22</f>
        <v>4214.2406442462234</v>
      </c>
      <c r="M22" s="68">
        <f>'5. Financials - drinking water'!M22+'6. Financials - wastewater'!M22+'7. Financials - stormwater'!M22</f>
        <v>141.67727417294941</v>
      </c>
      <c r="N22" s="68">
        <f>'5. Financials - drinking water'!N22+'6. Financials - wastewater'!N22+'7. Financials - stormwater'!N22</f>
        <v>1043.578854785284</v>
      </c>
      <c r="P22" s="107">
        <f>SUM(E22:N22)</f>
        <v>89147.551754443819</v>
      </c>
    </row>
    <row r="23" spans="1:16" ht="11" thickBot="1">
      <c r="A23" s="5" t="s">
        <v>241</v>
      </c>
      <c r="C23" s="68">
        <f>'5. Financials - drinking water'!C23+'6. Financials - wastewater'!C23+'7. Financials - stormwater'!C23</f>
        <v>0</v>
      </c>
      <c r="E23" s="68">
        <f>'5. Financials - drinking water'!E23+'6. Financials - wastewater'!E23+'7. Financials - stormwater'!E23</f>
        <v>0</v>
      </c>
      <c r="F23" s="68">
        <f>'5. Financials - drinking water'!F23+'6. Financials - wastewater'!F23+'7. Financials - stormwater'!F23</f>
        <v>0</v>
      </c>
      <c r="G23" s="68">
        <f>'5. Financials - drinking water'!G23+'6. Financials - wastewater'!G23+'7. Financials - stormwater'!G23</f>
        <v>0</v>
      </c>
      <c r="H23" s="68">
        <f>'5. Financials - drinking water'!H23+'6. Financials - wastewater'!H23+'7. Financials - stormwater'!H23</f>
        <v>0</v>
      </c>
      <c r="I23" s="68">
        <f>'5. Financials - drinking water'!I23+'6. Financials - wastewater'!I23+'7. Financials - stormwater'!I23</f>
        <v>0</v>
      </c>
      <c r="J23" s="68">
        <f>'5. Financials - drinking water'!J23+'6. Financials - wastewater'!J23+'7. Financials - stormwater'!J23</f>
        <v>0</v>
      </c>
      <c r="K23" s="68">
        <f>'5. Financials - drinking water'!K23+'6. Financials - wastewater'!K23+'7. Financials - stormwater'!K23</f>
        <v>0</v>
      </c>
      <c r="L23" s="68">
        <f>'5. Financials - drinking water'!L23+'6. Financials - wastewater'!L23+'7. Financials - stormwater'!L23</f>
        <v>0</v>
      </c>
      <c r="M23" s="68">
        <f>'5. Financials - drinking water'!M23+'6. Financials - wastewater'!M23+'7. Financials - stormwater'!M23</f>
        <v>0</v>
      </c>
      <c r="N23" s="68">
        <f>'5. Financials - drinking water'!N23+'6. Financials - wastewater'!N23+'7. Financials - stormwater'!N23</f>
        <v>0</v>
      </c>
      <c r="P23" s="107">
        <f>SUM(E23:N23)</f>
        <v>0</v>
      </c>
    </row>
    <row r="24" spans="1:16" ht="11" thickBot="1">
      <c r="A24" s="5" t="s">
        <v>242</v>
      </c>
      <c r="C24" s="68">
        <f>'5. Financials - drinking water'!C24+'6. Financials - wastewater'!C24+'7. Financials - stormwater'!C24</f>
        <v>0</v>
      </c>
      <c r="E24" s="68">
        <f>'5. Financials - drinking water'!E24+'6. Financials - wastewater'!E24+'7. Financials - stormwater'!E24</f>
        <v>0</v>
      </c>
      <c r="F24" s="68">
        <f>'5. Financials - drinking water'!F24+'6. Financials - wastewater'!F24+'7. Financials - stormwater'!F24</f>
        <v>0</v>
      </c>
      <c r="G24" s="68">
        <f>'5. Financials - drinking water'!G24+'6. Financials - wastewater'!G24+'7. Financials - stormwater'!G24</f>
        <v>0</v>
      </c>
      <c r="H24" s="68">
        <f>'5. Financials - drinking water'!H24+'6. Financials - wastewater'!H24+'7. Financials - stormwater'!H24</f>
        <v>0</v>
      </c>
      <c r="I24" s="68">
        <f>'5. Financials - drinking water'!I24+'6. Financials - wastewater'!I24+'7. Financials - stormwater'!I24</f>
        <v>0</v>
      </c>
      <c r="J24" s="68">
        <f>'5. Financials - drinking water'!J24+'6. Financials - wastewater'!J24+'7. Financials - stormwater'!J24</f>
        <v>0</v>
      </c>
      <c r="K24" s="68">
        <f>'5. Financials - drinking water'!K24+'6. Financials - wastewater'!K24+'7. Financials - stormwater'!K24</f>
        <v>0</v>
      </c>
      <c r="L24" s="68">
        <f>'5. Financials - drinking water'!L24+'6. Financials - wastewater'!L24+'7. Financials - stormwater'!L24</f>
        <v>0</v>
      </c>
      <c r="M24" s="68">
        <f>'5. Financials - drinking water'!M24+'6. Financials - wastewater'!M24+'7. Financials - stormwater'!M24</f>
        <v>0</v>
      </c>
      <c r="N24" s="68">
        <f>'5. Financials - drinking water'!N24+'6. Financials - wastewater'!N24+'7. Financials - stormwater'!N24</f>
        <v>0</v>
      </c>
      <c r="P24" s="107">
        <f>SUM(E24:N24)</f>
        <v>0</v>
      </c>
    </row>
    <row r="25" spans="1:16" ht="11" thickBot="1">
      <c r="A25" s="108" t="s">
        <v>243</v>
      </c>
      <c r="C25" s="13">
        <f>SUM(C20:C24)</f>
        <v>215.53627</v>
      </c>
      <c r="E25" s="13">
        <f t="shared" ref="E25:N25" si="3">SUM(E20:E24)</f>
        <v>11025.4</v>
      </c>
      <c r="F25" s="13">
        <f t="shared" si="3"/>
        <v>12164.644560000001</v>
      </c>
      <c r="G25" s="13">
        <f t="shared" si="3"/>
        <v>17256.851800000004</v>
      </c>
      <c r="H25" s="13">
        <f t="shared" si="3"/>
        <v>15007.33200588509</v>
      </c>
      <c r="I25" s="13">
        <f t="shared" si="3"/>
        <v>15787.580479645654</v>
      </c>
      <c r="J25" s="13">
        <f t="shared" si="3"/>
        <v>9755.3121038959907</v>
      </c>
      <c r="K25" s="13">
        <f t="shared" si="3"/>
        <v>5566.1880318126168</v>
      </c>
      <c r="L25" s="13">
        <f t="shared" si="3"/>
        <v>4614.149644246223</v>
      </c>
      <c r="M25" s="13">
        <f t="shared" si="3"/>
        <v>541.5862741729494</v>
      </c>
      <c r="N25" s="13">
        <f t="shared" si="3"/>
        <v>1443.4878547852841</v>
      </c>
      <c r="P25" s="13">
        <f>SUM(P20:P24)</f>
        <v>93162.532754443819</v>
      </c>
    </row>
    <row r="26" spans="1:16" ht="5.25" customHeight="1" thickBot="1">
      <c r="A26" s="76"/>
    </row>
    <row r="27" spans="1:16" ht="11" thickBot="1">
      <c r="A27" s="106" t="s">
        <v>244</v>
      </c>
      <c r="C27" s="4"/>
      <c r="E27" s="4"/>
      <c r="F27" s="4"/>
      <c r="G27" s="4"/>
      <c r="H27" s="4"/>
      <c r="I27" s="4"/>
      <c r="J27" s="4"/>
      <c r="K27" s="4"/>
      <c r="L27" s="4"/>
      <c r="M27" s="4"/>
      <c r="N27" s="4"/>
      <c r="O27" s="105"/>
      <c r="P27" s="4"/>
    </row>
    <row r="28" spans="1:16" ht="11" thickBot="1">
      <c r="A28" s="5" t="s">
        <v>194</v>
      </c>
      <c r="C28" s="68">
        <f>'5. Financials - drinking water'!C28+'6. Financials - wastewater'!C28+'7. Financials - stormwater'!C28</f>
        <v>6.5237199999999991</v>
      </c>
      <c r="E28" s="68">
        <f>'5. Financials - drinking water'!E28+'6. Financials - wastewater'!E28+'7. Financials - stormwater'!E28</f>
        <v>0</v>
      </c>
      <c r="F28" s="68">
        <f>'5. Financials - drinking water'!F28+'6. Financials - wastewater'!F28+'7. Financials - stormwater'!F28</f>
        <v>992.68399999999997</v>
      </c>
      <c r="G28" s="68">
        <f>'5. Financials - drinking water'!G28+'6. Financials - wastewater'!G28+'7. Financials - stormwater'!G28</f>
        <v>2984.4180000000001</v>
      </c>
      <c r="H28" s="68">
        <f>'5. Financials - drinking water'!H28+'6. Financials - wastewater'!H28+'7. Financials - stormwater'!H28</f>
        <v>5225</v>
      </c>
      <c r="I28" s="68">
        <f>'5. Financials - drinking water'!I28+'6. Financials - wastewater'!I28+'7. Financials - stormwater'!I28</f>
        <v>3300.0000000000005</v>
      </c>
      <c r="J28" s="68">
        <f>'5. Financials - drinking water'!J28+'6. Financials - wastewater'!J28+'7. Financials - stormwater'!J28</f>
        <v>2199.1724733250217</v>
      </c>
      <c r="K28" s="68">
        <f>'5. Financials - drinking water'!K28+'6. Financials - wastewater'!K28+'7. Financials - stormwater'!K28</f>
        <v>0</v>
      </c>
      <c r="L28" s="68">
        <f>'5. Financials - drinking water'!L28+'6. Financials - wastewater'!L28+'7. Financials - stormwater'!L28</f>
        <v>0</v>
      </c>
      <c r="M28" s="68">
        <f>'5. Financials - drinking water'!M28+'6. Financials - wastewater'!M28+'7. Financials - stormwater'!M28</f>
        <v>0</v>
      </c>
      <c r="N28" s="68">
        <f>'5. Financials - drinking water'!N28+'6. Financials - wastewater'!N28+'7. Financials - stormwater'!N28</f>
        <v>0</v>
      </c>
      <c r="P28" s="107">
        <f>SUM(E28:N28)</f>
        <v>14701.27447332502</v>
      </c>
    </row>
    <row r="29" spans="1:16" ht="11" thickBot="1">
      <c r="A29" s="5" t="s">
        <v>195</v>
      </c>
      <c r="C29" s="68">
        <f>'5. Financials - drinking water'!C29+'6. Financials - wastewater'!C29+'7. Financials - stormwater'!C29</f>
        <v>2640.1857100000007</v>
      </c>
      <c r="E29" s="68">
        <f>'5. Financials - drinking water'!E29+'6. Financials - wastewater'!E29+'7. Financials - stormwater'!E29</f>
        <v>7507.4</v>
      </c>
      <c r="F29" s="68">
        <f>'5. Financials - drinking water'!F29+'6. Financials - wastewater'!F29+'7. Financials - stormwater'!F29</f>
        <v>6080.24</v>
      </c>
      <c r="G29" s="68">
        <f>'5. Financials - drinking water'!G29+'6. Financials - wastewater'!G29+'7. Financials - stormwater'!G29</f>
        <v>11689.764999999999</v>
      </c>
      <c r="H29" s="68">
        <f>'5. Financials - drinking water'!H29+'6. Financials - wastewater'!H29+'7. Financials - stormwater'!H29</f>
        <v>9514.1531594999997</v>
      </c>
      <c r="I29" s="68">
        <f>'5. Financials - drinking water'!I29+'6. Financials - wastewater'!I29+'7. Financials - stormwater'!I29</f>
        <v>13252.749878500001</v>
      </c>
      <c r="J29" s="68">
        <f>'5. Financials - drinking water'!J29+'6. Financials - wastewater'!J29+'7. Financials - stormwater'!J29</f>
        <v>8278.4517231158115</v>
      </c>
      <c r="K29" s="68">
        <f>'5. Financials - drinking water'!K29+'6. Financials - wastewater'!K29+'7. Financials - stormwater'!K29</f>
        <v>9220.5525563727642</v>
      </c>
      <c r="L29" s="68">
        <f>'5. Financials - drinking water'!L29+'6. Financials - wastewater'!L29+'7. Financials - stormwater'!L29</f>
        <v>10217.60271310194</v>
      </c>
      <c r="M29" s="68">
        <f>'5. Financials - drinking water'!M29+'6. Financials - wastewater'!M29+'7. Financials - stormwater'!M29</f>
        <v>6171.6657343380266</v>
      </c>
      <c r="N29" s="68">
        <f>'5. Financials - drinking water'!N29+'6. Financials - wastewater'!N29+'7. Financials - stormwater'!N29</f>
        <v>6742.3591924395441</v>
      </c>
      <c r="P29" s="107">
        <f>SUM(E29:N29)</f>
        <v>88674.939957368071</v>
      </c>
    </row>
    <row r="30" spans="1:16" ht="11" thickBot="1">
      <c r="A30" s="5" t="s">
        <v>196</v>
      </c>
      <c r="C30" s="68">
        <f>'5. Financials - drinking water'!C30+'6. Financials - wastewater'!C30+'7. Financials - stormwater'!C30</f>
        <v>2960.8575399999995</v>
      </c>
      <c r="E30" s="68">
        <f>'5. Financials - drinking water'!E30+'6. Financials - wastewater'!E30+'7. Financials - stormwater'!E30</f>
        <v>5807.2</v>
      </c>
      <c r="F30" s="68">
        <f>'5. Financials - drinking water'!F30+'6. Financials - wastewater'!F30+'7. Financials - stormwater'!F30</f>
        <v>6415.2380000000003</v>
      </c>
      <c r="G30" s="68">
        <f>'5. Financials - drinking water'!G30+'6. Financials - wastewater'!G30+'7. Financials - stormwater'!G30</f>
        <v>5033.5199999999995</v>
      </c>
      <c r="H30" s="68">
        <f>'5. Financials - drinking water'!H30+'6. Financials - wastewater'!H30+'7. Financials - stormwater'!H30</f>
        <v>1934.4655</v>
      </c>
      <c r="I30" s="68">
        <f>'5. Financials - drinking water'!I30+'6. Financials - wastewater'!I30+'7. Financials - stormwater'!I30</f>
        <v>1890.2015000000001</v>
      </c>
      <c r="J30" s="68">
        <f>'5. Financials - drinking water'!J30+'6. Financials - wastewater'!J30+'7. Financials - stormwater'!J30</f>
        <v>4652.2330671058344</v>
      </c>
      <c r="K30" s="68">
        <f>'5. Financials - drinking water'!K30+'6. Financials - wastewater'!K30+'7. Financials - stormwater'!K30</f>
        <v>4993.0066601457775</v>
      </c>
      <c r="L30" s="68">
        <f>'5. Financials - drinking water'!L30+'6. Financials - wastewater'!L30+'7. Financials - stormwater'!L30</f>
        <v>5339.0357791921906</v>
      </c>
      <c r="M30" s="68">
        <f>'5. Financials - drinking water'!M30+'6. Financials - wastewater'!M30+'7. Financials - stormwater'!M30</f>
        <v>5326.5646888579604</v>
      </c>
      <c r="N30" s="68">
        <f>'5. Financials - drinking water'!N30+'6. Financials - wastewater'!N30+'7. Financials - stormwater'!N30</f>
        <v>5762.1097806237967</v>
      </c>
      <c r="P30" s="107">
        <f>SUM(E30:N30)</f>
        <v>47153.574975925549</v>
      </c>
    </row>
    <row r="31" spans="1:16" ht="11" thickBot="1">
      <c r="A31" s="5" t="s">
        <v>245</v>
      </c>
      <c r="C31" s="68">
        <f>'5. Financials - drinking water'!C31+'6. Financials - wastewater'!C31+'7. Financials - stormwater'!C31</f>
        <v>-3136.7899923664108</v>
      </c>
      <c r="E31" s="68">
        <f>'5. Financials - drinking water'!E31+'6. Financials - wastewater'!E31+'7. Financials - stormwater'!E31</f>
        <v>-1036.8</v>
      </c>
      <c r="F31" s="68">
        <f>'5. Financials - drinking water'!F31+'6. Financials - wastewater'!F31+'7. Financials - stormwater'!F31</f>
        <v>0</v>
      </c>
      <c r="G31" s="68">
        <f>'5. Financials - drinking water'!G31+'6. Financials - wastewater'!G31+'7. Financials - stormwater'!G31</f>
        <v>0</v>
      </c>
      <c r="H31" s="68">
        <f>'5. Financials - drinking water'!H31+'6. Financials - wastewater'!H31+'7. Financials - stormwater'!H31</f>
        <v>0</v>
      </c>
      <c r="I31" s="68">
        <f>'5. Financials - drinking water'!I31+'6. Financials - wastewater'!I31+'7. Financials - stormwater'!I31</f>
        <v>0</v>
      </c>
      <c r="J31" s="68">
        <f>'5. Financials - drinking water'!J31+'6. Financials - wastewater'!J31+'7. Financials - stormwater'!J31</f>
        <v>0</v>
      </c>
      <c r="K31" s="68">
        <f>'5. Financials - drinking water'!K31+'6. Financials - wastewater'!K31+'7. Financials - stormwater'!K31</f>
        <v>0</v>
      </c>
      <c r="L31" s="68">
        <f>'5. Financials - drinking water'!L31+'6. Financials - wastewater'!L31+'7. Financials - stormwater'!L31</f>
        <v>0</v>
      </c>
      <c r="M31" s="68">
        <f>'5. Financials - drinking water'!M31+'6. Financials - wastewater'!M31+'7. Financials - stormwater'!M31</f>
        <v>0</v>
      </c>
      <c r="N31" s="68">
        <f>'5. Financials - drinking water'!N31+'6. Financials - wastewater'!N31+'7. Financials - stormwater'!N31</f>
        <v>0</v>
      </c>
      <c r="P31" s="107">
        <f>SUM(E31:N31)</f>
        <v>-1036.8</v>
      </c>
    </row>
    <row r="32" spans="1:16" ht="11" thickBot="1">
      <c r="A32" s="5" t="s">
        <v>246</v>
      </c>
      <c r="C32" s="68">
        <f>'5. Financials - drinking water'!C32+'6. Financials - wastewater'!C32+'7. Financials - stormwater'!C32</f>
        <v>0</v>
      </c>
      <c r="E32" s="68">
        <f>'5. Financials - drinking water'!E32+'6. Financials - wastewater'!E32+'7. Financials - stormwater'!E32</f>
        <v>0</v>
      </c>
      <c r="F32" s="68">
        <f>'5. Financials - drinking water'!F32+'6. Financials - wastewater'!F32+'7. Financials - stormwater'!F32</f>
        <v>0</v>
      </c>
      <c r="G32" s="68">
        <f>'5. Financials - drinking water'!G32+'6. Financials - wastewater'!G32+'7. Financials - stormwater'!G32</f>
        <v>0</v>
      </c>
      <c r="H32" s="68">
        <f>'5. Financials - drinking water'!H32+'6. Financials - wastewater'!H32+'7. Financials - stormwater'!H32</f>
        <v>1250</v>
      </c>
      <c r="I32" s="68">
        <f>'5. Financials - drinking water'!I32+'6. Financials - wastewater'!I32+'7. Financials - stormwater'!I32</f>
        <v>0</v>
      </c>
      <c r="J32" s="68">
        <f>'5. Financials - drinking water'!J32+'6. Financials - wastewater'!J32+'7. Financials - stormwater'!J32</f>
        <v>0</v>
      </c>
      <c r="K32" s="68">
        <f>'5. Financials - drinking water'!K32+'6. Financials - wastewater'!K32+'7. Financials - stormwater'!K32</f>
        <v>0</v>
      </c>
      <c r="L32" s="68">
        <f>'5. Financials - drinking water'!L32+'6. Financials - wastewater'!L32+'7. Financials - stormwater'!L32</f>
        <v>0</v>
      </c>
      <c r="M32" s="68">
        <f>'5. Financials - drinking water'!M32+'6. Financials - wastewater'!M32+'7. Financials - stormwater'!M32</f>
        <v>0</v>
      </c>
      <c r="N32" s="68">
        <f>'5. Financials - drinking water'!N32+'6. Financials - wastewater'!N32+'7. Financials - stormwater'!N32</f>
        <v>0</v>
      </c>
      <c r="P32" s="107">
        <f>SUM(E32:N32)</f>
        <v>1250</v>
      </c>
    </row>
    <row r="33" spans="1:16" ht="11" thickBot="1">
      <c r="A33" s="108" t="s">
        <v>247</v>
      </c>
      <c r="C33" s="13">
        <f>SUM(C28:C32)</f>
        <v>2470.776977633589</v>
      </c>
      <c r="E33" s="13">
        <f t="shared" ref="E33:N33" si="4">SUM(E28:E32)</f>
        <v>12277.8</v>
      </c>
      <c r="F33" s="13">
        <f t="shared" si="4"/>
        <v>13488.162</v>
      </c>
      <c r="G33" s="13">
        <f t="shared" si="4"/>
        <v>19707.702999999998</v>
      </c>
      <c r="H33" s="13">
        <f t="shared" si="4"/>
        <v>17923.6186595</v>
      </c>
      <c r="I33" s="13">
        <f t="shared" si="4"/>
        <v>18442.951378500002</v>
      </c>
      <c r="J33" s="13">
        <f t="shared" si="4"/>
        <v>15129.857263546666</v>
      </c>
      <c r="K33" s="13">
        <f t="shared" si="4"/>
        <v>14213.559216518541</v>
      </c>
      <c r="L33" s="13">
        <f t="shared" si="4"/>
        <v>15556.638492294131</v>
      </c>
      <c r="M33" s="13">
        <f t="shared" si="4"/>
        <v>11498.230423195986</v>
      </c>
      <c r="N33" s="13">
        <f t="shared" si="4"/>
        <v>12504.46897306334</v>
      </c>
      <c r="P33" s="13">
        <f>SUM(P28:P32)</f>
        <v>150742.98940661864</v>
      </c>
    </row>
    <row r="34" spans="1:16" ht="5.25" customHeight="1" thickBot="1">
      <c r="A34" s="110"/>
    </row>
    <row r="35" spans="1:16" ht="11" thickBot="1">
      <c r="A35" s="108" t="s">
        <v>248</v>
      </c>
      <c r="C35" s="13">
        <f>C25-C33</f>
        <v>-2255.240707633589</v>
      </c>
      <c r="E35" s="13">
        <f t="shared" ref="E35:N35" si="5">E25-E33</f>
        <v>-1252.3999999999996</v>
      </c>
      <c r="F35" s="13">
        <f t="shared" si="5"/>
        <v>-1323.5174399999996</v>
      </c>
      <c r="G35" s="13">
        <f t="shared" si="5"/>
        <v>-2450.8511999999937</v>
      </c>
      <c r="H35" s="13">
        <f t="shared" si="5"/>
        <v>-2916.2866536149104</v>
      </c>
      <c r="I35" s="13">
        <f t="shared" si="5"/>
        <v>-2655.3708988543476</v>
      </c>
      <c r="J35" s="13">
        <f t="shared" si="5"/>
        <v>-5374.5451596506755</v>
      </c>
      <c r="K35" s="13">
        <f t="shared" si="5"/>
        <v>-8647.371184705924</v>
      </c>
      <c r="L35" s="13">
        <f t="shared" si="5"/>
        <v>-10942.488848047908</v>
      </c>
      <c r="M35" s="13">
        <f t="shared" si="5"/>
        <v>-10956.644149023037</v>
      </c>
      <c r="N35" s="13">
        <f t="shared" si="5"/>
        <v>-11060.981118278056</v>
      </c>
      <c r="P35" s="13">
        <f>P25-P33</f>
        <v>-57580.45665217482</v>
      </c>
    </row>
    <row r="36" spans="1:16" ht="5.25" customHeight="1" thickBot="1">
      <c r="A36" s="111"/>
    </row>
    <row r="37" spans="1:16" ht="11" thickBot="1">
      <c r="A37" s="108" t="s">
        <v>249</v>
      </c>
      <c r="C37" s="13">
        <f>C17+C35</f>
        <v>0</v>
      </c>
      <c r="E37" s="13">
        <f t="shared" ref="E37:N37" si="6">E17+E35</f>
        <v>-0.2000000000007276</v>
      </c>
      <c r="F37" s="13">
        <f t="shared" si="6"/>
        <v>1.2000000242551323E-4</v>
      </c>
      <c r="G37" s="13">
        <f t="shared" si="6"/>
        <v>1.4000000555824954E-4</v>
      </c>
      <c r="H37" s="13">
        <f t="shared" si="6"/>
        <v>0</v>
      </c>
      <c r="I37" s="13">
        <f t="shared" si="6"/>
        <v>-5.4569682106375694E-12</v>
      </c>
      <c r="J37" s="13">
        <f t="shared" si="6"/>
        <v>0</v>
      </c>
      <c r="K37" s="13">
        <f t="shared" si="6"/>
        <v>0</v>
      </c>
      <c r="L37" s="13">
        <f t="shared" si="6"/>
        <v>0</v>
      </c>
      <c r="M37" s="13">
        <f t="shared" si="6"/>
        <v>0</v>
      </c>
      <c r="N37" s="13">
        <f t="shared" si="6"/>
        <v>0</v>
      </c>
      <c r="P37" s="13">
        <f>P17+P35</f>
        <v>-0.19973999992362224</v>
      </c>
    </row>
    <row r="38" spans="1:16" ht="11" thickBot="1"/>
    <row r="39" spans="1:16" ht="11" thickBot="1">
      <c r="A39" s="104" t="s">
        <v>250</v>
      </c>
      <c r="B39" s="91"/>
      <c r="C39" s="91" t="s">
        <v>29</v>
      </c>
      <c r="D39" s="91"/>
      <c r="E39" s="91" t="s">
        <v>19</v>
      </c>
      <c r="F39" s="91" t="s">
        <v>20</v>
      </c>
      <c r="G39" s="91" t="s">
        <v>21</v>
      </c>
      <c r="H39" s="91" t="s">
        <v>22</v>
      </c>
      <c r="I39" s="91" t="s">
        <v>23</v>
      </c>
      <c r="J39" s="91" t="s">
        <v>24</v>
      </c>
      <c r="K39" s="91" t="s">
        <v>25</v>
      </c>
      <c r="L39" s="91" t="s">
        <v>26</v>
      </c>
      <c r="M39" s="91" t="s">
        <v>27</v>
      </c>
      <c r="N39" s="91" t="s">
        <v>28</v>
      </c>
      <c r="O39" s="105"/>
    </row>
    <row r="40" spans="1:16" ht="11" thickBot="1">
      <c r="A40" s="5" t="s">
        <v>180</v>
      </c>
      <c r="C40" s="68">
        <f>C$8</f>
        <v>9361.4384776335919</v>
      </c>
      <c r="E40" s="68">
        <f t="shared" ref="E40:N40" si="7">E$8</f>
        <v>11975</v>
      </c>
      <c r="F40" s="68">
        <f t="shared" si="7"/>
        <v>12580.137140000001</v>
      </c>
      <c r="G40" s="68">
        <f t="shared" si="7"/>
        <v>12917.95499</v>
      </c>
      <c r="H40" s="68">
        <f t="shared" si="7"/>
        <v>15196.360306275144</v>
      </c>
      <c r="I40" s="68">
        <f t="shared" si="7"/>
        <v>17448.947272114103</v>
      </c>
      <c r="J40" s="68">
        <f t="shared" si="7"/>
        <v>20030.787725315735</v>
      </c>
      <c r="K40" s="68">
        <f t="shared" si="7"/>
        <v>22996.297552498498</v>
      </c>
      <c r="L40" s="68">
        <f t="shared" si="7"/>
        <v>26396.339777158479</v>
      </c>
      <c r="M40" s="68">
        <f t="shared" si="7"/>
        <v>25796.169621104127</v>
      </c>
      <c r="N40" s="68">
        <f t="shared" si="7"/>
        <v>26746.073746585851</v>
      </c>
    </row>
    <row r="41" spans="1:16" ht="11" thickBot="1">
      <c r="A41" s="5" t="s">
        <v>251</v>
      </c>
      <c r="C41" s="68">
        <f>C$20+C$21+C$23+C$24</f>
        <v>718.21627000000001</v>
      </c>
      <c r="E41" s="68">
        <f t="shared" ref="E41:N41" si="8">E$20+E$21+E$23+E$24</f>
        <v>415.8</v>
      </c>
      <c r="F41" s="68">
        <f t="shared" si="8"/>
        <v>399.90899999999999</v>
      </c>
      <c r="G41" s="68">
        <f t="shared" si="8"/>
        <v>399.90899999999999</v>
      </c>
      <c r="H41" s="68">
        <f t="shared" si="8"/>
        <v>399.90899999999999</v>
      </c>
      <c r="I41" s="68">
        <f t="shared" si="8"/>
        <v>399.90899999999999</v>
      </c>
      <c r="J41" s="68">
        <f t="shared" si="8"/>
        <v>399.90899999999999</v>
      </c>
      <c r="K41" s="68">
        <f t="shared" si="8"/>
        <v>399.90899999999999</v>
      </c>
      <c r="L41" s="68">
        <f t="shared" si="8"/>
        <v>399.90899999999999</v>
      </c>
      <c r="M41" s="68">
        <f t="shared" si="8"/>
        <v>399.90899999999999</v>
      </c>
      <c r="N41" s="68">
        <f t="shared" si="8"/>
        <v>399.90899999999999</v>
      </c>
    </row>
    <row r="42" spans="1:16" ht="11" thickBot="1">
      <c r="A42" s="108" t="s">
        <v>252</v>
      </c>
      <c r="C42" s="13">
        <f>SUM(C40:C41)</f>
        <v>10079.654747633593</v>
      </c>
      <c r="E42" s="13">
        <f t="shared" ref="E42:N42" si="9">SUM(E40:E41)</f>
        <v>12390.8</v>
      </c>
      <c r="F42" s="13">
        <f t="shared" si="9"/>
        <v>12980.04614</v>
      </c>
      <c r="G42" s="13">
        <f t="shared" si="9"/>
        <v>13317.86399</v>
      </c>
      <c r="H42" s="13">
        <f t="shared" si="9"/>
        <v>15596.269306275144</v>
      </c>
      <c r="I42" s="13">
        <f t="shared" si="9"/>
        <v>17848.856272114102</v>
      </c>
      <c r="J42" s="13">
        <f t="shared" si="9"/>
        <v>20430.696725315735</v>
      </c>
      <c r="K42" s="13">
        <f t="shared" si="9"/>
        <v>23396.206552498497</v>
      </c>
      <c r="L42" s="13">
        <f t="shared" si="9"/>
        <v>26796.248777158478</v>
      </c>
      <c r="M42" s="13">
        <f t="shared" si="9"/>
        <v>26196.078621104127</v>
      </c>
      <c r="N42" s="13">
        <f t="shared" si="9"/>
        <v>27145.982746585851</v>
      </c>
    </row>
    <row r="43" spans="1:16" ht="5.25" customHeight="1" thickBot="1">
      <c r="A43" s="5"/>
      <c r="C43" s="112"/>
      <c r="E43" s="112"/>
      <c r="F43" s="112"/>
      <c r="G43" s="112"/>
      <c r="H43" s="112"/>
      <c r="I43" s="112"/>
      <c r="J43" s="112"/>
      <c r="K43" s="112"/>
      <c r="L43" s="112"/>
      <c r="M43" s="112"/>
      <c r="N43" s="112"/>
    </row>
    <row r="44" spans="1:16" ht="11" thickBot="1">
      <c r="A44" s="5" t="s">
        <v>253</v>
      </c>
      <c r="C44" s="68">
        <f>C$11+C$14</f>
        <v>5775.9862200000007</v>
      </c>
      <c r="E44" s="68">
        <f t="shared" ref="E44:N44" si="10">E$11+E$14</f>
        <v>8754</v>
      </c>
      <c r="F44" s="68">
        <f t="shared" si="10"/>
        <v>8746.4249999999993</v>
      </c>
      <c r="G44" s="68">
        <f t="shared" si="10"/>
        <v>7233.1871899999996</v>
      </c>
      <c r="H44" s="68">
        <f t="shared" si="10"/>
        <v>7268.4439321004766</v>
      </c>
      <c r="I44" s="68">
        <f t="shared" si="10"/>
        <v>8882.3041104029908</v>
      </c>
      <c r="J44" s="68">
        <f t="shared" si="10"/>
        <v>7958.6669354235792</v>
      </c>
      <c r="K44" s="68">
        <f t="shared" si="10"/>
        <v>7194.0963297149201</v>
      </c>
      <c r="L44" s="68">
        <f t="shared" si="10"/>
        <v>7975.6172691088741</v>
      </c>
      <c r="M44" s="68">
        <f t="shared" si="10"/>
        <v>7211.1768552322346</v>
      </c>
      <c r="N44" s="68">
        <f t="shared" si="10"/>
        <v>7993.3993625572421</v>
      </c>
    </row>
    <row r="45" spans="1:16" ht="11" thickBot="1">
      <c r="A45" s="5" t="s">
        <v>232</v>
      </c>
      <c r="C45" s="68">
        <f>C$12</f>
        <v>673.51027999999997</v>
      </c>
      <c r="E45" s="68">
        <f t="shared" ref="E45:N45" si="11">E$12</f>
        <v>951.2</v>
      </c>
      <c r="F45" s="68">
        <f t="shared" si="11"/>
        <v>1529.97345</v>
      </c>
      <c r="G45" s="68">
        <f t="shared" si="11"/>
        <v>2235.6697300000001</v>
      </c>
      <c r="H45" s="68">
        <f t="shared" si="11"/>
        <v>4154.2323205597595</v>
      </c>
      <c r="I45" s="68">
        <f t="shared" si="11"/>
        <v>5055.6367328567703</v>
      </c>
      <c r="J45" s="68">
        <f t="shared" si="11"/>
        <v>5814.0986302414794</v>
      </c>
      <c r="K45" s="68">
        <f t="shared" si="11"/>
        <v>6281.3180280776523</v>
      </c>
      <c r="L45" s="68">
        <f t="shared" si="11"/>
        <v>6596.7847100016979</v>
      </c>
      <c r="M45" s="68">
        <f t="shared" si="11"/>
        <v>6752.5349468488575</v>
      </c>
      <c r="N45" s="68">
        <f t="shared" si="11"/>
        <v>6811.8158357505545</v>
      </c>
    </row>
    <row r="46" spans="1:16" ht="11" thickBot="1">
      <c r="A46" s="5" t="s">
        <v>254</v>
      </c>
      <c r="C46" s="68">
        <f>C$13</f>
        <v>656.70126999999991</v>
      </c>
      <c r="E46" s="68">
        <f t="shared" ref="E46:N46" si="12">E$13</f>
        <v>1017.6</v>
      </c>
      <c r="F46" s="68">
        <f t="shared" si="12"/>
        <v>980.22113000000002</v>
      </c>
      <c r="G46" s="68">
        <f t="shared" si="12"/>
        <v>998.24672999999996</v>
      </c>
      <c r="H46" s="68">
        <f t="shared" si="12"/>
        <v>857.39740000000006</v>
      </c>
      <c r="I46" s="68">
        <f t="shared" si="12"/>
        <v>855.63553000000013</v>
      </c>
      <c r="J46" s="68">
        <f t="shared" si="12"/>
        <v>883.47700000000009</v>
      </c>
      <c r="K46" s="68">
        <f t="shared" si="12"/>
        <v>873.51201000000003</v>
      </c>
      <c r="L46" s="68">
        <f t="shared" si="12"/>
        <v>881.44894999999985</v>
      </c>
      <c r="M46" s="68">
        <f t="shared" si="12"/>
        <v>875.81367000000012</v>
      </c>
      <c r="N46" s="68">
        <f t="shared" si="12"/>
        <v>879.87742999999989</v>
      </c>
    </row>
    <row r="47" spans="1:16" ht="11" thickBot="1">
      <c r="A47" s="5" t="s">
        <v>255</v>
      </c>
      <c r="C47" s="68">
        <f>'5. Financials - drinking water'!C47+'6. Financials - wastewater'!C47+'7. Financials - stormwater'!C47</f>
        <v>2109.991</v>
      </c>
      <c r="E47" s="68">
        <f>'5. Financials - drinking water'!E47+'6. Financials - wastewater'!E47+'7. Financials - stormwater'!E47</f>
        <v>2490</v>
      </c>
      <c r="F47" s="68">
        <f>'5. Financials - drinking water'!F47+'6. Financials - wastewater'!F47+'7. Financials - stormwater'!F47</f>
        <v>2524.1686500000001</v>
      </c>
      <c r="G47" s="68">
        <f>'5. Financials - drinking water'!G47+'6. Financials - wastewater'!G47+'7. Financials - stormwater'!G47</f>
        <v>2969.8322200000002</v>
      </c>
      <c r="H47" s="68">
        <f>'5. Financials - drinking water'!H47+'6. Financials - wastewater'!H47+'7. Financials - stormwater'!H47</f>
        <v>3264.7691999999997</v>
      </c>
      <c r="I47" s="68">
        <f>'5. Financials - drinking water'!I47+'6. Financials - wastewater'!I47+'7. Financials - stormwater'!I47</f>
        <v>3993.10106</v>
      </c>
      <c r="J47" s="68">
        <f>'5. Financials - drinking water'!J47+'6. Financials - wastewater'!J47+'7. Financials - stormwater'!J47</f>
        <v>4412.6920599999994</v>
      </c>
      <c r="K47" s="68">
        <f>'5. Financials - drinking water'!K47+'6. Financials - wastewater'!K47+'7. Financials - stormwater'!K47</f>
        <v>5339.5172759938741</v>
      </c>
      <c r="L47" s="68">
        <f>'5. Financials - drinking water'!L47+'6. Financials - wastewater'!L47+'7. Financials - stormwater'!L47</f>
        <v>5842.4173483792601</v>
      </c>
      <c r="M47" s="68">
        <f>'5. Financials - drinking water'!M47+'6. Financials - wastewater'!M47+'7. Financials - stormwater'!M47</f>
        <v>6572.2321212480983</v>
      </c>
      <c r="N47" s="68">
        <f>'5. Financials - drinking water'!N47+'6. Financials - wastewater'!N47+'7. Financials - stormwater'!N47</f>
        <v>6785.1462380683142</v>
      </c>
    </row>
    <row r="48" spans="1:16" ht="11" thickBot="1">
      <c r="A48" s="108" t="s">
        <v>256</v>
      </c>
      <c r="C48" s="13">
        <f>SUM(C44:C47)</f>
        <v>9216.1887700000007</v>
      </c>
      <c r="E48" s="13">
        <f t="shared" ref="E48:N48" si="13">SUM(E44:E47)</f>
        <v>13212.800000000001</v>
      </c>
      <c r="F48" s="13">
        <f t="shared" si="13"/>
        <v>13780.788229999998</v>
      </c>
      <c r="G48" s="13">
        <f t="shared" si="13"/>
        <v>13436.935870000001</v>
      </c>
      <c r="H48" s="13">
        <f t="shared" si="13"/>
        <v>15544.842852660237</v>
      </c>
      <c r="I48" s="13">
        <f t="shared" si="13"/>
        <v>18786.67743325976</v>
      </c>
      <c r="J48" s="13">
        <f t="shared" si="13"/>
        <v>19068.934625665061</v>
      </c>
      <c r="K48" s="13">
        <f t="shared" si="13"/>
        <v>19688.443643786446</v>
      </c>
      <c r="L48" s="13">
        <f t="shared" si="13"/>
        <v>21296.268277489831</v>
      </c>
      <c r="M48" s="13">
        <f t="shared" si="13"/>
        <v>21411.757593329188</v>
      </c>
      <c r="N48" s="13">
        <f t="shared" si="13"/>
        <v>22470.238866376112</v>
      </c>
    </row>
    <row r="49" spans="1:15" ht="5.25" customHeight="1" thickBot="1">
      <c r="A49" s="5"/>
      <c r="C49" s="68"/>
      <c r="E49" s="112"/>
      <c r="F49" s="112"/>
      <c r="G49" s="112"/>
      <c r="H49" s="112"/>
      <c r="I49" s="112"/>
      <c r="J49" s="112"/>
      <c r="K49" s="112"/>
      <c r="L49" s="112"/>
      <c r="M49" s="112"/>
      <c r="N49" s="112"/>
    </row>
    <row r="50" spans="1:15" ht="11" thickBot="1">
      <c r="A50" s="108" t="s">
        <v>257</v>
      </c>
      <c r="C50" s="13">
        <f>C42-C48</f>
        <v>863.46597763359205</v>
      </c>
      <c r="E50" s="13">
        <f t="shared" ref="E50:N50" si="14">E42-E48</f>
        <v>-822.00000000000182</v>
      </c>
      <c r="F50" s="13">
        <f t="shared" si="14"/>
        <v>-800.74208999999792</v>
      </c>
      <c r="G50" s="13">
        <f t="shared" si="14"/>
        <v>-119.07188000000133</v>
      </c>
      <c r="H50" s="13">
        <f t="shared" si="14"/>
        <v>51.426453614907587</v>
      </c>
      <c r="I50" s="13">
        <f t="shared" si="14"/>
        <v>-937.82116114565724</v>
      </c>
      <c r="J50" s="13">
        <f t="shared" si="14"/>
        <v>1361.7620996506739</v>
      </c>
      <c r="K50" s="13">
        <f t="shared" si="14"/>
        <v>3707.7629087120513</v>
      </c>
      <c r="L50" s="13">
        <f t="shared" si="14"/>
        <v>5499.9804996686471</v>
      </c>
      <c r="M50" s="13">
        <f t="shared" si="14"/>
        <v>4784.3210277749386</v>
      </c>
      <c r="N50" s="13">
        <f t="shared" si="14"/>
        <v>4675.7438802097386</v>
      </c>
    </row>
    <row r="51" spans="1:15" ht="5.25" customHeight="1" thickBot="1">
      <c r="A51" s="5"/>
      <c r="C51" s="68"/>
      <c r="E51" s="112"/>
      <c r="F51" s="112"/>
      <c r="G51" s="112"/>
      <c r="H51" s="112"/>
      <c r="I51" s="112"/>
      <c r="J51" s="112"/>
      <c r="K51" s="112"/>
      <c r="L51" s="112"/>
      <c r="M51" s="112"/>
      <c r="N51" s="112"/>
    </row>
    <row r="52" spans="1:15" ht="11" thickBot="1">
      <c r="A52" s="5" t="s">
        <v>258</v>
      </c>
      <c r="C52" s="68">
        <f>'5. Financials - drinking water'!C52+'6. Financials - wastewater'!C52+'7. Financials - stormwater'!C52</f>
        <v>110312.01088598762</v>
      </c>
      <c r="E52" s="68">
        <f>'5. Financials - drinking water'!E52+'6. Financials - wastewater'!E52+'7. Financials - stormwater'!E52</f>
        <v>3542.5771360000031</v>
      </c>
      <c r="F52" s="68">
        <f>'5. Financials - drinking water'!F52+'6. Financials - wastewater'!F52+'7. Financials - stormwater'!F52</f>
        <v>0</v>
      </c>
      <c r="G52" s="68">
        <f>'5. Financials - drinking water'!G52+'6. Financials - wastewater'!G52+'7. Financials - stormwater'!G52</f>
        <v>7065.3597355086276</v>
      </c>
      <c r="H52" s="68">
        <f>'5. Financials - drinking water'!H52+'6. Financials - wastewater'!H52+'7. Financials - stormwater'!H52</f>
        <v>0</v>
      </c>
      <c r="I52" s="68">
        <f>'5. Financials - drinking water'!I52+'6. Financials - wastewater'!I52+'7. Financials - stormwater'!I52</f>
        <v>9571.3580370885484</v>
      </c>
      <c r="J52" s="68">
        <f>'5. Financials - drinking water'!J52+'6. Financials - wastewater'!J52+'7. Financials - stormwater'!J52</f>
        <v>0</v>
      </c>
      <c r="K52" s="68">
        <f>'5. Financials - drinking water'!K52+'6. Financials - wastewater'!K52+'7. Financials - stormwater'!K52</f>
        <v>10871.417416914495</v>
      </c>
      <c r="L52" s="68">
        <f>'5. Financials - drinking water'!L52+'6. Financials - wastewater'!L52+'7. Financials - stormwater'!L52</f>
        <v>0</v>
      </c>
      <c r="M52" s="68">
        <f>'5. Financials - drinking water'!M52+'6. Financials - wastewater'!M52+'7. Financials - stormwater'!M52</f>
        <v>12302.45085694827</v>
      </c>
      <c r="N52" s="68">
        <f>'5. Financials - drinking water'!N52+'6. Financials - wastewater'!N52+'7. Financials - stormwater'!N52</f>
        <v>0</v>
      </c>
    </row>
    <row r="53" spans="1:15" ht="11" thickBot="1">
      <c r="A53" s="108" t="s">
        <v>259</v>
      </c>
      <c r="C53" s="13">
        <f>C50+C52</f>
        <v>111175.47686362121</v>
      </c>
      <c r="E53" s="13">
        <f t="shared" ref="E53:N53" si="15">E50+E52</f>
        <v>2720.5771360000012</v>
      </c>
      <c r="F53" s="13">
        <f t="shared" si="15"/>
        <v>-800.74208999999792</v>
      </c>
      <c r="G53" s="13">
        <f t="shared" si="15"/>
        <v>6946.2878555086263</v>
      </c>
      <c r="H53" s="13">
        <f t="shared" si="15"/>
        <v>51.426453614907587</v>
      </c>
      <c r="I53" s="13">
        <f t="shared" si="15"/>
        <v>8633.5368759428911</v>
      </c>
      <c r="J53" s="13">
        <f t="shared" si="15"/>
        <v>1361.7620996506739</v>
      </c>
      <c r="K53" s="13">
        <f t="shared" si="15"/>
        <v>14579.180325626547</v>
      </c>
      <c r="L53" s="13">
        <f t="shared" si="15"/>
        <v>5499.9804996686471</v>
      </c>
      <c r="M53" s="13">
        <f t="shared" si="15"/>
        <v>17086.77188472321</v>
      </c>
      <c r="N53" s="13">
        <f t="shared" si="15"/>
        <v>4675.7438802097386</v>
      </c>
    </row>
    <row r="54" spans="1:15" ht="5.25" customHeight="1" thickBot="1">
      <c r="A54" s="5"/>
      <c r="C54" s="68"/>
      <c r="E54" s="112"/>
      <c r="F54" s="112"/>
      <c r="G54" s="112"/>
      <c r="H54" s="112"/>
      <c r="I54" s="112"/>
      <c r="J54" s="112"/>
      <c r="K54" s="112"/>
      <c r="L54" s="112"/>
      <c r="M54" s="112"/>
      <c r="N54" s="112"/>
    </row>
    <row r="55" spans="1:15" ht="11" thickBot="1">
      <c r="A55" s="108" t="s">
        <v>260</v>
      </c>
      <c r="C55" s="13">
        <f>C50+C47</f>
        <v>2973.456977633592</v>
      </c>
      <c r="E55" s="13">
        <f t="shared" ref="E55:N55" si="16">E50+E47</f>
        <v>1667.9999999999982</v>
      </c>
      <c r="F55" s="13">
        <f t="shared" si="16"/>
        <v>1723.4265600000022</v>
      </c>
      <c r="G55" s="13">
        <f t="shared" si="16"/>
        <v>2850.7603399999989</v>
      </c>
      <c r="H55" s="13">
        <f t="shared" si="16"/>
        <v>3316.1956536149073</v>
      </c>
      <c r="I55" s="13">
        <f t="shared" si="16"/>
        <v>3055.2798988543427</v>
      </c>
      <c r="J55" s="13">
        <f t="shared" si="16"/>
        <v>5774.4541596506733</v>
      </c>
      <c r="K55" s="13">
        <f t="shared" si="16"/>
        <v>9047.2801847059254</v>
      </c>
      <c r="L55" s="13">
        <f t="shared" si="16"/>
        <v>11342.397848047907</v>
      </c>
      <c r="M55" s="13">
        <f t="shared" si="16"/>
        <v>11356.553149023037</v>
      </c>
      <c r="N55" s="13">
        <f t="shared" si="16"/>
        <v>11460.890118278054</v>
      </c>
    </row>
    <row r="56" spans="1:15" ht="11" thickBot="1"/>
    <row r="57" spans="1:15" ht="11" thickBot="1">
      <c r="A57" s="104" t="s">
        <v>261</v>
      </c>
      <c r="B57" s="91"/>
      <c r="C57" s="91" t="s">
        <v>29</v>
      </c>
      <c r="D57" s="91"/>
      <c r="E57" s="91" t="s">
        <v>19</v>
      </c>
      <c r="F57" s="91" t="s">
        <v>20</v>
      </c>
      <c r="G57" s="91" t="s">
        <v>21</v>
      </c>
      <c r="H57" s="91" t="s">
        <v>22</v>
      </c>
      <c r="I57" s="91" t="s">
        <v>23</v>
      </c>
      <c r="J57" s="91" t="s">
        <v>24</v>
      </c>
      <c r="K57" s="91" t="s">
        <v>25</v>
      </c>
      <c r="L57" s="91" t="s">
        <v>26</v>
      </c>
      <c r="M57" s="91" t="s">
        <v>27</v>
      </c>
      <c r="N57" s="91" t="s">
        <v>28</v>
      </c>
    </row>
    <row r="58" spans="1:15" ht="11" thickBot="1">
      <c r="A58" s="106" t="s">
        <v>262</v>
      </c>
      <c r="C58" s="4"/>
      <c r="E58" s="4"/>
      <c r="F58" s="4"/>
      <c r="G58" s="4"/>
      <c r="H58" s="4"/>
      <c r="I58" s="4"/>
      <c r="J58" s="4"/>
      <c r="K58" s="4"/>
      <c r="L58" s="4"/>
      <c r="M58" s="4"/>
      <c r="N58" s="4"/>
      <c r="O58" s="105"/>
    </row>
    <row r="59" spans="1:15" ht="11" thickBot="1">
      <c r="A59" s="5" t="s">
        <v>263</v>
      </c>
      <c r="C59" s="68">
        <f>C$55</f>
        <v>2973.456977633592</v>
      </c>
      <c r="E59" s="68">
        <f t="shared" ref="E59:N59" si="17">E$55</f>
        <v>1667.9999999999982</v>
      </c>
      <c r="F59" s="68">
        <f t="shared" si="17"/>
        <v>1723.4265600000022</v>
      </c>
      <c r="G59" s="68">
        <f t="shared" si="17"/>
        <v>2850.7603399999989</v>
      </c>
      <c r="H59" s="68">
        <f t="shared" si="17"/>
        <v>3316.1956536149073</v>
      </c>
      <c r="I59" s="68">
        <f t="shared" si="17"/>
        <v>3055.2798988543427</v>
      </c>
      <c r="J59" s="68">
        <f t="shared" si="17"/>
        <v>5774.4541596506733</v>
      </c>
      <c r="K59" s="68">
        <f t="shared" si="17"/>
        <v>9047.2801847059254</v>
      </c>
      <c r="L59" s="68">
        <f t="shared" si="17"/>
        <v>11342.397848047907</v>
      </c>
      <c r="M59" s="68">
        <f t="shared" si="17"/>
        <v>11356.553149023037</v>
      </c>
      <c r="N59" s="68">
        <f t="shared" si="17"/>
        <v>11460.890118278054</v>
      </c>
    </row>
    <row r="60" spans="1:15" ht="11" thickBot="1">
      <c r="A60" s="5" t="s">
        <v>264</v>
      </c>
      <c r="C60" s="68"/>
      <c r="E60" s="68"/>
      <c r="F60" s="68"/>
      <c r="G60" s="68"/>
      <c r="H60" s="68"/>
      <c r="I60" s="68"/>
      <c r="J60" s="68"/>
      <c r="K60" s="68"/>
      <c r="L60" s="68"/>
      <c r="M60" s="68"/>
      <c r="N60" s="68"/>
    </row>
    <row r="61" spans="1:15" ht="11" thickBot="1">
      <c r="A61" s="108" t="s">
        <v>265</v>
      </c>
      <c r="C61" s="13">
        <f>SUM(C59:C60)</f>
        <v>2973.456977633592</v>
      </c>
      <c r="E61" s="13">
        <f t="shared" ref="E61:N61" si="18">SUM(E59:E60)</f>
        <v>1667.9999999999982</v>
      </c>
      <c r="F61" s="13">
        <f t="shared" si="18"/>
        <v>1723.4265600000022</v>
      </c>
      <c r="G61" s="13">
        <f t="shared" si="18"/>
        <v>2850.7603399999989</v>
      </c>
      <c r="H61" s="13">
        <f t="shared" si="18"/>
        <v>3316.1956536149073</v>
      </c>
      <c r="I61" s="13">
        <f t="shared" si="18"/>
        <v>3055.2798988543427</v>
      </c>
      <c r="J61" s="13">
        <f t="shared" si="18"/>
        <v>5774.4541596506733</v>
      </c>
      <c r="K61" s="13">
        <f t="shared" si="18"/>
        <v>9047.2801847059254</v>
      </c>
      <c r="L61" s="13">
        <f t="shared" si="18"/>
        <v>11342.397848047907</v>
      </c>
      <c r="M61" s="13">
        <f t="shared" si="18"/>
        <v>11356.553149023037</v>
      </c>
      <c r="N61" s="13">
        <f t="shared" si="18"/>
        <v>11460.890118278054</v>
      </c>
    </row>
    <row r="62" spans="1:15" ht="5.25" customHeight="1" thickBot="1">
      <c r="A62" s="5"/>
      <c r="C62" s="68"/>
      <c r="E62" s="112"/>
      <c r="F62" s="112"/>
      <c r="G62" s="112"/>
      <c r="H62" s="112"/>
      <c r="I62" s="112"/>
      <c r="J62" s="112"/>
      <c r="K62" s="112"/>
      <c r="L62" s="112"/>
      <c r="M62" s="112"/>
      <c r="N62" s="112"/>
    </row>
    <row r="63" spans="1:15" ht="11" thickBot="1">
      <c r="A63" s="106" t="s">
        <v>266</v>
      </c>
      <c r="C63" s="4"/>
      <c r="E63" s="4"/>
      <c r="F63" s="4"/>
      <c r="G63" s="4"/>
      <c r="H63" s="4"/>
      <c r="I63" s="4"/>
      <c r="J63" s="4"/>
      <c r="K63" s="4"/>
      <c r="L63" s="4"/>
      <c r="M63" s="4"/>
      <c r="N63" s="4"/>
      <c r="O63" s="105"/>
    </row>
    <row r="64" spans="1:15" ht="11" thickBot="1">
      <c r="A64" s="5" t="s">
        <v>264</v>
      </c>
      <c r="C64" s="68">
        <f>-C32</f>
        <v>0</v>
      </c>
      <c r="E64" s="68">
        <f>-E32</f>
        <v>0</v>
      </c>
      <c r="F64" s="68">
        <f t="shared" ref="F64:N64" si="19">-F32</f>
        <v>0</v>
      </c>
      <c r="G64" s="68">
        <f t="shared" si="19"/>
        <v>0</v>
      </c>
      <c r="H64" s="68">
        <f t="shared" si="19"/>
        <v>-1250</v>
      </c>
      <c r="I64" s="68">
        <f t="shared" si="19"/>
        <v>0</v>
      </c>
      <c r="J64" s="68">
        <f t="shared" si="19"/>
        <v>0</v>
      </c>
      <c r="K64" s="68">
        <f t="shared" si="19"/>
        <v>0</v>
      </c>
      <c r="L64" s="68">
        <f t="shared" si="19"/>
        <v>0</v>
      </c>
      <c r="M64" s="68">
        <f t="shared" si="19"/>
        <v>0</v>
      </c>
      <c r="N64" s="68">
        <f t="shared" si="19"/>
        <v>0</v>
      </c>
    </row>
    <row r="65" spans="1:15" ht="11" thickBot="1">
      <c r="A65" s="5" t="s">
        <v>170</v>
      </c>
      <c r="C65" s="68">
        <f>-SUM(C$28:C$30)</f>
        <v>-5607.5669699999999</v>
      </c>
      <c r="E65" s="68">
        <f t="shared" ref="E65:N65" si="20">-SUM(E$28:E$30)</f>
        <v>-13314.599999999999</v>
      </c>
      <c r="F65" s="68">
        <f t="shared" si="20"/>
        <v>-13488.162</v>
      </c>
      <c r="G65" s="68">
        <f t="shared" si="20"/>
        <v>-19707.702999999998</v>
      </c>
      <c r="H65" s="68">
        <f t="shared" si="20"/>
        <v>-16673.6186595</v>
      </c>
      <c r="I65" s="68">
        <f t="shared" si="20"/>
        <v>-18442.951378500002</v>
      </c>
      <c r="J65" s="68">
        <f t="shared" si="20"/>
        <v>-15129.857263546666</v>
      </c>
      <c r="K65" s="68">
        <f t="shared" si="20"/>
        <v>-14213.559216518541</v>
      </c>
      <c r="L65" s="68">
        <f t="shared" si="20"/>
        <v>-15556.638492294131</v>
      </c>
      <c r="M65" s="68">
        <f t="shared" si="20"/>
        <v>-11498.230423195986</v>
      </c>
      <c r="N65" s="68">
        <f t="shared" si="20"/>
        <v>-12504.46897306334</v>
      </c>
    </row>
    <row r="66" spans="1:15" ht="11" thickBot="1">
      <c r="A66" s="108" t="s">
        <v>267</v>
      </c>
      <c r="C66" s="13">
        <f>SUM(C64:C65)</f>
        <v>-5607.5669699999999</v>
      </c>
      <c r="E66" s="13">
        <f t="shared" ref="E66:N66" si="21">SUM(E64:E65)</f>
        <v>-13314.599999999999</v>
      </c>
      <c r="F66" s="13">
        <f t="shared" si="21"/>
        <v>-13488.162</v>
      </c>
      <c r="G66" s="13">
        <f t="shared" si="21"/>
        <v>-19707.702999999998</v>
      </c>
      <c r="H66" s="13">
        <f t="shared" si="21"/>
        <v>-17923.6186595</v>
      </c>
      <c r="I66" s="13">
        <f t="shared" si="21"/>
        <v>-18442.951378500002</v>
      </c>
      <c r="J66" s="13">
        <f t="shared" si="21"/>
        <v>-15129.857263546666</v>
      </c>
      <c r="K66" s="13">
        <f t="shared" si="21"/>
        <v>-14213.559216518541</v>
      </c>
      <c r="L66" s="13">
        <f t="shared" si="21"/>
        <v>-15556.638492294131</v>
      </c>
      <c r="M66" s="13">
        <f t="shared" si="21"/>
        <v>-11498.230423195986</v>
      </c>
      <c r="N66" s="13">
        <f t="shared" si="21"/>
        <v>-12504.46897306334</v>
      </c>
    </row>
    <row r="67" spans="1:15" ht="5.25" customHeight="1" thickBot="1">
      <c r="A67" s="5"/>
      <c r="C67" s="68"/>
      <c r="E67" s="112"/>
      <c r="F67" s="112"/>
      <c r="G67" s="112"/>
      <c r="H67" s="112"/>
      <c r="I67" s="112"/>
      <c r="J67" s="112"/>
      <c r="K67" s="112"/>
      <c r="L67" s="112"/>
      <c r="M67" s="112"/>
      <c r="N67" s="112"/>
    </row>
    <row r="68" spans="1:15" ht="11" thickBot="1">
      <c r="A68" s="106" t="s">
        <v>268</v>
      </c>
      <c r="C68" s="4"/>
      <c r="E68" s="4"/>
      <c r="F68" s="4"/>
      <c r="G68" s="4"/>
      <c r="H68" s="4"/>
      <c r="I68" s="4"/>
      <c r="J68" s="4"/>
      <c r="K68" s="4"/>
      <c r="L68" s="4"/>
      <c r="M68" s="4"/>
      <c r="N68" s="4"/>
      <c r="O68" s="105"/>
    </row>
    <row r="69" spans="1:15" ht="11" thickBot="1">
      <c r="A69" s="5" t="s">
        <v>269</v>
      </c>
      <c r="C69" s="68">
        <f>C$22-C$70-C$31</f>
        <v>2634.109992366411</v>
      </c>
      <c r="E69" s="68">
        <f>E$22-E$70-E$31</f>
        <v>11646.4</v>
      </c>
      <c r="F69" s="68">
        <f t="shared" ref="F69:N69" si="22">F$22-F$70-F$31</f>
        <v>11764.735560000001</v>
      </c>
      <c r="G69" s="68">
        <f t="shared" si="22"/>
        <v>16856.942800000004</v>
      </c>
      <c r="H69" s="68">
        <f>H$22-H$70-H$31</f>
        <v>14607.42300588509</v>
      </c>
      <c r="I69" s="68">
        <f t="shared" si="22"/>
        <v>15387.671479645654</v>
      </c>
      <c r="J69" s="68">
        <f t="shared" si="22"/>
        <v>9355.4031038959911</v>
      </c>
      <c r="K69" s="68">
        <f t="shared" si="22"/>
        <v>5166.2790318126172</v>
      </c>
      <c r="L69" s="68">
        <f t="shared" si="22"/>
        <v>4214.2406442462234</v>
      </c>
      <c r="M69" s="68">
        <f t="shared" si="22"/>
        <v>141.67727417294941</v>
      </c>
      <c r="N69" s="68">
        <f t="shared" si="22"/>
        <v>1043.578854785284</v>
      </c>
    </row>
    <row r="70" spans="1:15" ht="11" thickBot="1">
      <c r="A70" s="5" t="s">
        <v>270</v>
      </c>
      <c r="C70" s="68"/>
      <c r="E70" s="68"/>
      <c r="F70" s="68"/>
      <c r="G70" s="68"/>
      <c r="H70" s="68"/>
      <c r="I70" s="68"/>
      <c r="J70" s="68"/>
      <c r="K70" s="68"/>
      <c r="L70" s="68"/>
      <c r="M70" s="68"/>
      <c r="N70" s="68"/>
    </row>
    <row r="71" spans="1:15" ht="11" thickBot="1">
      <c r="A71" s="108" t="s">
        <v>271</v>
      </c>
      <c r="C71" s="13">
        <f>SUM(C69:C70)</f>
        <v>2634.109992366411</v>
      </c>
      <c r="E71" s="13">
        <f t="shared" ref="E71:N71" si="23">SUM(E69:E70)</f>
        <v>11646.4</v>
      </c>
      <c r="F71" s="13">
        <f t="shared" si="23"/>
        <v>11764.735560000001</v>
      </c>
      <c r="G71" s="13">
        <f t="shared" si="23"/>
        <v>16856.942800000004</v>
      </c>
      <c r="H71" s="13">
        <f t="shared" si="23"/>
        <v>14607.42300588509</v>
      </c>
      <c r="I71" s="13">
        <f t="shared" si="23"/>
        <v>15387.671479645654</v>
      </c>
      <c r="J71" s="13">
        <f t="shared" si="23"/>
        <v>9355.4031038959911</v>
      </c>
      <c r="K71" s="13">
        <f t="shared" si="23"/>
        <v>5166.2790318126172</v>
      </c>
      <c r="L71" s="13">
        <f t="shared" si="23"/>
        <v>4214.2406442462234</v>
      </c>
      <c r="M71" s="13">
        <f t="shared" si="23"/>
        <v>141.67727417294941</v>
      </c>
      <c r="N71" s="13">
        <f t="shared" si="23"/>
        <v>1043.578854785284</v>
      </c>
    </row>
    <row r="72" spans="1:15" ht="5.25" customHeight="1" thickBot="1">
      <c r="A72" s="5"/>
      <c r="C72" s="112"/>
      <c r="E72" s="112"/>
      <c r="F72" s="112"/>
      <c r="G72" s="112"/>
      <c r="H72" s="112"/>
      <c r="I72" s="112"/>
      <c r="J72" s="112"/>
      <c r="K72" s="112"/>
      <c r="L72" s="112"/>
      <c r="M72" s="112"/>
      <c r="N72" s="112"/>
    </row>
    <row r="73" spans="1:15" ht="11" thickBot="1">
      <c r="A73" s="108" t="s">
        <v>272</v>
      </c>
      <c r="C73" s="13">
        <f>C61+C66+C71</f>
        <v>0</v>
      </c>
      <c r="E73" s="13">
        <f t="shared" ref="E73:N73" si="24">E61+E66+E71</f>
        <v>-0.2000000000007276</v>
      </c>
      <c r="F73" s="13">
        <f t="shared" si="24"/>
        <v>1.2000000242551323E-4</v>
      </c>
      <c r="G73" s="13">
        <f t="shared" si="24"/>
        <v>1.4000000373926014E-4</v>
      </c>
      <c r="H73" s="13">
        <f t="shared" si="24"/>
        <v>0</v>
      </c>
      <c r="I73" s="13">
        <f t="shared" si="24"/>
        <v>0</v>
      </c>
      <c r="J73" s="13">
        <f t="shared" si="24"/>
        <v>0</v>
      </c>
      <c r="K73" s="13">
        <f t="shared" si="24"/>
        <v>0</v>
      </c>
      <c r="L73" s="13">
        <f t="shared" si="24"/>
        <v>0</v>
      </c>
      <c r="M73" s="13">
        <f t="shared" si="24"/>
        <v>2.2737367544323206E-13</v>
      </c>
      <c r="N73" s="13">
        <f t="shared" si="24"/>
        <v>-2.2737367544323206E-12</v>
      </c>
    </row>
    <row r="74" spans="1:15" ht="5.25" customHeight="1" thickBot="1">
      <c r="A74" s="5"/>
      <c r="C74" s="112"/>
      <c r="E74" s="112"/>
      <c r="F74" s="112"/>
      <c r="G74" s="112"/>
      <c r="H74" s="112"/>
      <c r="I74" s="112"/>
      <c r="J74" s="112"/>
      <c r="K74" s="112"/>
      <c r="L74" s="112"/>
      <c r="M74" s="112"/>
      <c r="N74" s="112"/>
    </row>
    <row r="75" spans="1:15" ht="11" thickBot="1">
      <c r="A75" s="108" t="s">
        <v>273</v>
      </c>
      <c r="C75" s="13">
        <f>C76-C73</f>
        <v>0</v>
      </c>
      <c r="E75" s="13">
        <f>C76</f>
        <v>0</v>
      </c>
      <c r="F75" s="13">
        <f t="shared" ref="F75:N75" si="25">E76</f>
        <v>-0.2000000000007276</v>
      </c>
      <c r="G75" s="13">
        <f t="shared" si="25"/>
        <v>-0.19987999999830208</v>
      </c>
      <c r="H75" s="13">
        <f t="shared" si="25"/>
        <v>-0.19973999999456282</v>
      </c>
      <c r="I75" s="13">
        <f t="shared" si="25"/>
        <v>-0.19973999999456282</v>
      </c>
      <c r="J75" s="13">
        <f t="shared" si="25"/>
        <v>-0.19973999999456282</v>
      </c>
      <c r="K75" s="13">
        <f t="shared" si="25"/>
        <v>-0.19973999999456282</v>
      </c>
      <c r="L75" s="13">
        <f t="shared" si="25"/>
        <v>-0.19973999999456282</v>
      </c>
      <c r="M75" s="13">
        <f t="shared" si="25"/>
        <v>-0.19973999999456282</v>
      </c>
      <c r="N75" s="13">
        <f t="shared" si="25"/>
        <v>-0.19973999999433545</v>
      </c>
    </row>
    <row r="76" spans="1:15" ht="11" thickBot="1">
      <c r="A76" s="108" t="s">
        <v>274</v>
      </c>
      <c r="C76" s="13">
        <f>C80</f>
        <v>0</v>
      </c>
      <c r="E76" s="13">
        <f t="shared" ref="E76:N76" si="26">E73+E75</f>
        <v>-0.2000000000007276</v>
      </c>
      <c r="F76" s="13">
        <f t="shared" si="26"/>
        <v>-0.19987999999830208</v>
      </c>
      <c r="G76" s="13">
        <f t="shared" si="26"/>
        <v>-0.19973999999456282</v>
      </c>
      <c r="H76" s="13">
        <f>H73+H75</f>
        <v>-0.19973999999456282</v>
      </c>
      <c r="I76" s="13">
        <f t="shared" si="26"/>
        <v>-0.19973999999456282</v>
      </c>
      <c r="J76" s="13">
        <f t="shared" si="26"/>
        <v>-0.19973999999456282</v>
      </c>
      <c r="K76" s="13">
        <f t="shared" si="26"/>
        <v>-0.19973999999456282</v>
      </c>
      <c r="L76" s="13">
        <f t="shared" si="26"/>
        <v>-0.19973999999456282</v>
      </c>
      <c r="M76" s="13">
        <f t="shared" si="26"/>
        <v>-0.19973999999433545</v>
      </c>
      <c r="N76" s="13">
        <f t="shared" si="26"/>
        <v>-0.19973999999660919</v>
      </c>
    </row>
    <row r="77" spans="1:15" ht="11" thickBot="1"/>
    <row r="78" spans="1:15" ht="11" thickBot="1">
      <c r="A78" s="104" t="s">
        <v>275</v>
      </c>
      <c r="B78" s="91"/>
      <c r="C78" s="91" t="s">
        <v>29</v>
      </c>
      <c r="D78" s="91"/>
      <c r="E78" s="91" t="s">
        <v>19</v>
      </c>
      <c r="F78" s="91" t="s">
        <v>20</v>
      </c>
      <c r="G78" s="91" t="s">
        <v>21</v>
      </c>
      <c r="H78" s="91" t="s">
        <v>22</v>
      </c>
      <c r="I78" s="91" t="s">
        <v>23</v>
      </c>
      <c r="J78" s="91" t="s">
        <v>24</v>
      </c>
      <c r="K78" s="91" t="s">
        <v>25</v>
      </c>
      <c r="L78" s="91" t="s">
        <v>26</v>
      </c>
      <c r="M78" s="91" t="s">
        <v>27</v>
      </c>
      <c r="N78" s="91" t="s">
        <v>28</v>
      </c>
      <c r="O78" s="105"/>
    </row>
    <row r="79" spans="1:15" ht="11" thickBot="1">
      <c r="A79" s="106" t="s">
        <v>276</v>
      </c>
      <c r="C79" s="4"/>
      <c r="E79" s="4"/>
      <c r="F79" s="4"/>
      <c r="G79" s="4"/>
      <c r="H79" s="4"/>
      <c r="I79" s="4"/>
      <c r="J79" s="4"/>
      <c r="K79" s="4"/>
      <c r="L79" s="4"/>
      <c r="M79" s="4"/>
      <c r="N79" s="4"/>
      <c r="O79" s="105"/>
    </row>
    <row r="80" spans="1:15" ht="11" thickBot="1">
      <c r="A80" s="5" t="s">
        <v>277</v>
      </c>
      <c r="C80" s="68">
        <f>'5. Financials - drinking water'!C80+'6. Financials - wastewater'!C80+'7. Financials - stormwater'!C80</f>
        <v>0</v>
      </c>
      <c r="E80" s="68">
        <f t="shared" ref="E80:N80" si="27">E76</f>
        <v>-0.2000000000007276</v>
      </c>
      <c r="F80" s="68">
        <f t="shared" si="27"/>
        <v>-0.19987999999830208</v>
      </c>
      <c r="G80" s="68">
        <f t="shared" si="27"/>
        <v>-0.19973999999456282</v>
      </c>
      <c r="H80" s="68">
        <f t="shared" si="27"/>
        <v>-0.19973999999456282</v>
      </c>
      <c r="I80" s="68">
        <f t="shared" si="27"/>
        <v>-0.19973999999456282</v>
      </c>
      <c r="J80" s="68">
        <f t="shared" si="27"/>
        <v>-0.19973999999456282</v>
      </c>
      <c r="K80" s="68">
        <f t="shared" si="27"/>
        <v>-0.19973999999456282</v>
      </c>
      <c r="L80" s="68">
        <f t="shared" si="27"/>
        <v>-0.19973999999456282</v>
      </c>
      <c r="M80" s="68">
        <f t="shared" si="27"/>
        <v>-0.19973999999433545</v>
      </c>
      <c r="N80" s="68">
        <f t="shared" si="27"/>
        <v>-0.19973999999660919</v>
      </c>
    </row>
    <row r="81" spans="1:15" ht="11" thickBot="1">
      <c r="A81" s="5" t="s">
        <v>278</v>
      </c>
      <c r="C81" s="68">
        <f>'5. Financials - drinking water'!C81+'6. Financials - wastewater'!C81+'7. Financials - stormwater'!C81</f>
        <v>0</v>
      </c>
      <c r="E81" s="68">
        <f>'5. Financials - drinking water'!E81+'6. Financials - wastewater'!E81+'7. Financials - stormwater'!E81</f>
        <v>0</v>
      </c>
      <c r="F81" s="68">
        <f>'5. Financials - drinking water'!F81+'6. Financials - wastewater'!F81+'7. Financials - stormwater'!F81</f>
        <v>0</v>
      </c>
      <c r="G81" s="68">
        <f>'5. Financials - drinking water'!G81+'6. Financials - wastewater'!G81+'7. Financials - stormwater'!G81</f>
        <v>0</v>
      </c>
      <c r="H81" s="68">
        <f>'5. Financials - drinking water'!H81+'6. Financials - wastewater'!H81+'7. Financials - stormwater'!H81</f>
        <v>0</v>
      </c>
      <c r="I81" s="68">
        <f>'5. Financials - drinking water'!I81+'6. Financials - wastewater'!I81+'7. Financials - stormwater'!I81</f>
        <v>0</v>
      </c>
      <c r="J81" s="68">
        <f>'5. Financials - drinking water'!J81+'6. Financials - wastewater'!J81+'7. Financials - stormwater'!J81</f>
        <v>0</v>
      </c>
      <c r="K81" s="68">
        <f>'5. Financials - drinking water'!K81+'6. Financials - wastewater'!K81+'7. Financials - stormwater'!K81</f>
        <v>0</v>
      </c>
      <c r="L81" s="68">
        <f>'5. Financials - drinking water'!L81+'6. Financials - wastewater'!L81+'7. Financials - stormwater'!L81</f>
        <v>0</v>
      </c>
      <c r="M81" s="68">
        <f>'5. Financials - drinking water'!M81+'6. Financials - wastewater'!M81+'7. Financials - stormwater'!M81</f>
        <v>0</v>
      </c>
      <c r="N81" s="68">
        <f>'5. Financials - drinking water'!N81+'6. Financials - wastewater'!N81+'7. Financials - stormwater'!N81</f>
        <v>0</v>
      </c>
    </row>
    <row r="82" spans="1:15" ht="11" thickBot="1">
      <c r="A82" s="5" t="s">
        <v>279</v>
      </c>
      <c r="C82" s="68">
        <f>'5. Financials - drinking water'!C82+'6. Financials - wastewater'!C82+'7. Financials - stormwater'!C82</f>
        <v>126520.61199999999</v>
      </c>
      <c r="E82" s="68">
        <f>'5. Financials - drinking water'!E82+'6. Financials - wastewater'!E82+'7. Financials - stormwater'!E82</f>
        <v>140887.78913600001</v>
      </c>
      <c r="F82" s="68">
        <f>'5. Financials - drinking water'!F82+'6. Financials - wastewater'!F82+'7. Financials - stormwater'!F82</f>
        <v>151851.78248600001</v>
      </c>
      <c r="G82" s="68">
        <f>'5. Financials - drinking water'!G82+'6. Financials - wastewater'!G82+'7. Financials - stormwater'!G82</f>
        <v>175655.01300150863</v>
      </c>
      <c r="H82" s="68">
        <f>'5. Financials - drinking water'!H82+'6. Financials - wastewater'!H82+'7. Financials - stormwater'!H82</f>
        <v>189063.86246100866</v>
      </c>
      <c r="I82" s="68">
        <f>'5. Financials - drinking water'!I82+'6. Financials - wastewater'!I82+'7. Financials - stormwater'!I82</f>
        <v>213085.07081659717</v>
      </c>
      <c r="J82" s="68">
        <f>'5. Financials - drinking water'!J82+'6. Financials - wastewater'!J82+'7. Financials - stormwater'!J82</f>
        <v>223802.23602014387</v>
      </c>
      <c r="K82" s="68">
        <f>'5. Financials - drinking water'!K82+'6. Financials - wastewater'!K82+'7. Financials - stormwater'!K82</f>
        <v>243547.69537758303</v>
      </c>
      <c r="L82" s="68">
        <f>'5. Financials - drinking water'!L82+'6. Financials - wastewater'!L82+'7. Financials - stormwater'!L82</f>
        <v>253261.91652149789</v>
      </c>
      <c r="M82" s="68">
        <f>'5. Financials - drinking water'!M82+'6. Financials - wastewater'!M82+'7. Financials - stormwater'!M82</f>
        <v>270490.36568039405</v>
      </c>
      <c r="N82" s="68">
        <f>'5. Financials - drinking water'!N82+'6. Financials - wastewater'!N82+'7. Financials - stormwater'!N82</f>
        <v>276209.6884153891</v>
      </c>
    </row>
    <row r="83" spans="1:15" ht="11" thickBot="1">
      <c r="A83" s="5" t="s">
        <v>280</v>
      </c>
      <c r="C83" s="68">
        <f>'5. Financials - drinking water'!C83+'6. Financials - wastewater'!C83+'7. Financials - stormwater'!C83</f>
        <v>0</v>
      </c>
      <c r="E83" s="68">
        <f>'5. Financials - drinking water'!E83+'6. Financials - wastewater'!E83+'7. Financials - stormwater'!E83</f>
        <v>0</v>
      </c>
      <c r="F83" s="68">
        <f>'5. Financials - drinking water'!F83+'6. Financials - wastewater'!F83+'7. Financials - stormwater'!F83</f>
        <v>0</v>
      </c>
      <c r="G83" s="68">
        <f>'5. Financials - drinking water'!G83+'6. Financials - wastewater'!G83+'7. Financials - stormwater'!G83</f>
        <v>0</v>
      </c>
      <c r="H83" s="68">
        <f>'5. Financials - drinking water'!H83+'6. Financials - wastewater'!H83+'7. Financials - stormwater'!H83</f>
        <v>1250</v>
      </c>
      <c r="I83" s="68">
        <f>'5. Financials - drinking water'!I83+'6. Financials - wastewater'!I83+'7. Financials - stormwater'!I83</f>
        <v>1250</v>
      </c>
      <c r="J83" s="68">
        <f>'5. Financials - drinking water'!J83+'6. Financials - wastewater'!J83+'7. Financials - stormwater'!J83</f>
        <v>1250</v>
      </c>
      <c r="K83" s="68">
        <f>'5. Financials - drinking water'!K83+'6. Financials - wastewater'!K83+'7. Financials - stormwater'!K83</f>
        <v>1250</v>
      </c>
      <c r="L83" s="68">
        <f>'5. Financials - drinking water'!L83+'6. Financials - wastewater'!L83+'7. Financials - stormwater'!L83</f>
        <v>1250</v>
      </c>
      <c r="M83" s="68">
        <f>'5. Financials - drinking water'!M83+'6. Financials - wastewater'!M83+'7. Financials - stormwater'!M83</f>
        <v>1250</v>
      </c>
      <c r="N83" s="68">
        <f>'5. Financials - drinking water'!N83+'6. Financials - wastewater'!N83+'7. Financials - stormwater'!N83</f>
        <v>1250</v>
      </c>
    </row>
    <row r="84" spans="1:15" ht="11" thickBot="1">
      <c r="A84" s="108" t="s">
        <v>281</v>
      </c>
      <c r="C84" s="13">
        <f>SUM(C80:C83)</f>
        <v>126520.61199999999</v>
      </c>
      <c r="E84" s="13">
        <f t="shared" ref="E84:N84" si="28">SUM(E80:E83)</f>
        <v>140887.589136</v>
      </c>
      <c r="F84" s="13">
        <f t="shared" si="28"/>
        <v>151851.58260600001</v>
      </c>
      <c r="G84" s="13">
        <f t="shared" si="28"/>
        <v>175654.81326150865</v>
      </c>
      <c r="H84" s="13">
        <f t="shared" si="28"/>
        <v>190313.66272100867</v>
      </c>
      <c r="I84" s="13">
        <f t="shared" si="28"/>
        <v>214334.87107659719</v>
      </c>
      <c r="J84" s="13">
        <f t="shared" si="28"/>
        <v>225052.03628014389</v>
      </c>
      <c r="K84" s="13">
        <f t="shared" si="28"/>
        <v>244797.49563758305</v>
      </c>
      <c r="L84" s="13">
        <f t="shared" si="28"/>
        <v>254511.7167814979</v>
      </c>
      <c r="M84" s="13">
        <f t="shared" si="28"/>
        <v>271740.16594039404</v>
      </c>
      <c r="N84" s="13">
        <f t="shared" si="28"/>
        <v>277459.48867538909</v>
      </c>
    </row>
    <row r="85" spans="1:15" ht="5.25" customHeight="1" thickBot="1">
      <c r="A85" s="5"/>
      <c r="C85" s="112"/>
      <c r="E85" s="112"/>
      <c r="F85" s="112"/>
      <c r="G85" s="112"/>
      <c r="H85" s="112"/>
      <c r="I85" s="112"/>
      <c r="J85" s="112"/>
      <c r="K85" s="112"/>
      <c r="L85" s="112"/>
      <c r="M85" s="112"/>
      <c r="N85" s="112"/>
    </row>
    <row r="86" spans="1:15" ht="11" thickBot="1">
      <c r="A86" s="106" t="s">
        <v>282</v>
      </c>
      <c r="C86" s="4"/>
      <c r="E86" s="4"/>
      <c r="F86" s="4"/>
      <c r="G86" s="4"/>
      <c r="H86" s="4"/>
      <c r="I86" s="4"/>
      <c r="J86" s="4"/>
      <c r="K86" s="4"/>
      <c r="L86" s="4"/>
      <c r="M86" s="4"/>
      <c r="N86" s="4"/>
      <c r="O86" s="105"/>
    </row>
    <row r="87" spans="1:15" ht="11" thickBot="1">
      <c r="A87" s="5" t="s">
        <v>283</v>
      </c>
      <c r="C87" s="68">
        <f>'5. Financials - drinking water'!C87+'6. Financials - wastewater'!C87+'7. Financials - stormwater'!C87</f>
        <v>0</v>
      </c>
      <c r="E87" s="68">
        <f>'5. Financials - drinking water'!E87+'6. Financials - wastewater'!E87+'7. Financials - stormwater'!E87</f>
        <v>0</v>
      </c>
      <c r="F87" s="68">
        <f>'5. Financials - drinking water'!F87+'6. Financials - wastewater'!F87+'7. Financials - stormwater'!F87</f>
        <v>0</v>
      </c>
      <c r="G87" s="68">
        <f>'5. Financials - drinking water'!G87+'6. Financials - wastewater'!G87+'7. Financials - stormwater'!G87</f>
        <v>0</v>
      </c>
      <c r="H87" s="68">
        <f>'5. Financials - drinking water'!H87+'6. Financials - wastewater'!H87+'7. Financials - stormwater'!H87</f>
        <v>0</v>
      </c>
      <c r="I87" s="68">
        <f>'5. Financials - drinking water'!I87+'6. Financials - wastewater'!I87+'7. Financials - stormwater'!I87</f>
        <v>0</v>
      </c>
      <c r="J87" s="68">
        <f>'5. Financials - drinking water'!J87+'6. Financials - wastewater'!J87+'7. Financials - stormwater'!J87</f>
        <v>0</v>
      </c>
      <c r="K87" s="68">
        <f>'5. Financials - drinking water'!K87+'6. Financials - wastewater'!K87+'7. Financials - stormwater'!K87</f>
        <v>0</v>
      </c>
      <c r="L87" s="68">
        <f>'5. Financials - drinking water'!L87+'6. Financials - wastewater'!L87+'7. Financials - stormwater'!L87</f>
        <v>0</v>
      </c>
      <c r="M87" s="68">
        <f>'5. Financials - drinking water'!M87+'6. Financials - wastewater'!M87+'7. Financials - stormwater'!M87</f>
        <v>0</v>
      </c>
      <c r="N87" s="68">
        <f>'5. Financials - drinking water'!N87+'6. Financials - wastewater'!N87+'7. Financials - stormwater'!N87</f>
        <v>0</v>
      </c>
    </row>
    <row r="88" spans="1:15" ht="11" thickBot="1">
      <c r="A88" s="5" t="s">
        <v>284</v>
      </c>
      <c r="C88" s="68">
        <f>'5. Financials - drinking water'!C88+'6. Financials - wastewater'!C88+'7. Financials - stormwater'!C88</f>
        <v>0</v>
      </c>
      <c r="E88" s="68">
        <f>'5. Financials - drinking water'!E88+'6. Financials - wastewater'!E88+'7. Financials - stormwater'!E88</f>
        <v>0</v>
      </c>
      <c r="F88" s="68">
        <f>'5. Financials - drinking water'!F88+'6. Financials - wastewater'!F88+'7. Financials - stormwater'!F88</f>
        <v>0</v>
      </c>
      <c r="G88" s="68">
        <f>'5. Financials - drinking water'!G88+'6. Financials - wastewater'!G88+'7. Financials - stormwater'!G88</f>
        <v>0</v>
      </c>
      <c r="H88" s="68">
        <f>'5. Financials - drinking water'!H88+'6. Financials - wastewater'!H88+'7. Financials - stormwater'!H88</f>
        <v>0</v>
      </c>
      <c r="I88" s="68">
        <f>'5. Financials - drinking water'!I88+'6. Financials - wastewater'!I88+'7. Financials - stormwater'!I88</f>
        <v>0</v>
      </c>
      <c r="J88" s="68">
        <f>'5. Financials - drinking water'!J88+'6. Financials - wastewater'!J88+'7. Financials - stormwater'!J88</f>
        <v>0</v>
      </c>
      <c r="K88" s="68">
        <f>'5. Financials - drinking water'!K88+'6. Financials - wastewater'!K88+'7. Financials - stormwater'!K88</f>
        <v>0</v>
      </c>
      <c r="L88" s="68">
        <f>'5. Financials - drinking water'!L88+'6. Financials - wastewater'!L88+'7. Financials - stormwater'!L88</f>
        <v>0</v>
      </c>
      <c r="M88" s="68">
        <f>'5. Financials - drinking water'!M88+'6. Financials - wastewater'!M88+'7. Financials - stormwater'!M88</f>
        <v>0</v>
      </c>
      <c r="N88" s="68">
        <f>'5. Financials - drinking water'!N88+'6. Financials - wastewater'!N88+'7. Financials - stormwater'!N88</f>
        <v>0</v>
      </c>
    </row>
    <row r="89" spans="1:15" ht="11" thickBot="1">
      <c r="A89" s="5" t="s">
        <v>285</v>
      </c>
      <c r="C89" s="68">
        <f>'5. Financials - drinking water'!C89+'6. Financials - wastewater'!C89+'7. Financials - stormwater'!C89</f>
        <v>22425.320000000003</v>
      </c>
      <c r="E89" s="68">
        <f>'5. Financials - drinking water'!E89+'6. Financials - wastewater'!E89+'7. Financials - stormwater'!E89</f>
        <v>34071.72</v>
      </c>
      <c r="F89" s="68">
        <f>'5. Financials - drinking water'!F89+'6. Financials - wastewater'!F89+'7. Financials - stormwater'!F89</f>
        <v>45836.455559999995</v>
      </c>
      <c r="G89" s="68">
        <f>'5. Financials - drinking water'!G89+'6. Financials - wastewater'!G89+'7. Financials - stormwater'!G89</f>
        <v>62693.398359999999</v>
      </c>
      <c r="H89" s="68">
        <f>'5. Financials - drinking water'!H89+'6. Financials - wastewater'!H89+'7. Financials - stormwater'!H89</f>
        <v>77300.821365885087</v>
      </c>
      <c r="I89" s="68">
        <f>'5. Financials - drinking water'!I89+'6. Financials - wastewater'!I89+'7. Financials - stormwater'!I89</f>
        <v>92688.492845530753</v>
      </c>
      <c r="J89" s="68">
        <f>'5. Financials - drinking water'!J89+'6. Financials - wastewater'!J89+'7. Financials - stormwater'!J89</f>
        <v>102043.89594942673</v>
      </c>
      <c r="K89" s="68">
        <f>'5. Financials - drinking water'!K89+'6. Financials - wastewater'!K89+'7. Financials - stormwater'!K89</f>
        <v>107210.17498123934</v>
      </c>
      <c r="L89" s="68">
        <f>'5. Financials - drinking water'!L89+'6. Financials - wastewater'!L89+'7. Financials - stormwater'!L89</f>
        <v>111424.41562548556</v>
      </c>
      <c r="M89" s="68">
        <f>'5. Financials - drinking water'!M89+'6. Financials - wastewater'!M89+'7. Financials - stormwater'!M89</f>
        <v>111566.09289965853</v>
      </c>
      <c r="N89" s="68">
        <f>'5. Financials - drinking water'!N89+'6. Financials - wastewater'!N89+'7. Financials - stormwater'!N89</f>
        <v>112609.67175444379</v>
      </c>
    </row>
    <row r="90" spans="1:15" ht="11" thickBot="1">
      <c r="A90" s="5" t="s">
        <v>286</v>
      </c>
      <c r="C90" s="68">
        <f>'5. Financials - drinking water'!C90+'6. Financials - wastewater'!C90+'7. Financials - stormwater'!C90</f>
        <v>0</v>
      </c>
      <c r="E90" s="68">
        <f>'5. Financials - drinking water'!E90+'6. Financials - wastewater'!E90+'7. Financials - stormwater'!E90</f>
        <v>0</v>
      </c>
      <c r="F90" s="68">
        <f>'5. Financials - drinking water'!F90+'6. Financials - wastewater'!F90+'7. Financials - stormwater'!F90</f>
        <v>0</v>
      </c>
      <c r="G90" s="68">
        <f>'5. Financials - drinking water'!G90+'6. Financials - wastewater'!G90+'7. Financials - stormwater'!G90</f>
        <v>0</v>
      </c>
      <c r="H90" s="68">
        <f>'5. Financials - drinking water'!H90+'6. Financials - wastewater'!H90+'7. Financials - stormwater'!H90</f>
        <v>0</v>
      </c>
      <c r="I90" s="68">
        <f>'5. Financials - drinking water'!I90+'6. Financials - wastewater'!I90+'7. Financials - stormwater'!I90</f>
        <v>0</v>
      </c>
      <c r="J90" s="68">
        <f>'5. Financials - drinking water'!J90+'6. Financials - wastewater'!J90+'7. Financials - stormwater'!J90</f>
        <v>0</v>
      </c>
      <c r="K90" s="68">
        <f>'5. Financials - drinking water'!K90+'6. Financials - wastewater'!K90+'7. Financials - stormwater'!K90</f>
        <v>0</v>
      </c>
      <c r="L90" s="68">
        <f>'5. Financials - drinking water'!L90+'6. Financials - wastewater'!L90+'7. Financials - stormwater'!L90</f>
        <v>0</v>
      </c>
      <c r="M90" s="68">
        <f>'5. Financials - drinking water'!M90+'6. Financials - wastewater'!M90+'7. Financials - stormwater'!M90</f>
        <v>0</v>
      </c>
      <c r="N90" s="68">
        <f>'5. Financials - drinking water'!N90+'6. Financials - wastewater'!N90+'7. Financials - stormwater'!N90</f>
        <v>0</v>
      </c>
    </row>
    <row r="91" spans="1:15" ht="11" thickBot="1">
      <c r="A91" s="108" t="s">
        <v>287</v>
      </c>
      <c r="C91" s="13">
        <f>SUM(C87:C90)</f>
        <v>22425.320000000003</v>
      </c>
      <c r="E91" s="13">
        <f t="shared" ref="E91:N91" si="29">SUM(E87:E90)</f>
        <v>34071.72</v>
      </c>
      <c r="F91" s="13">
        <f t="shared" si="29"/>
        <v>45836.455559999995</v>
      </c>
      <c r="G91" s="13">
        <f t="shared" si="29"/>
        <v>62693.398359999999</v>
      </c>
      <c r="H91" s="13">
        <f t="shared" si="29"/>
        <v>77300.821365885087</v>
      </c>
      <c r="I91" s="13">
        <f t="shared" si="29"/>
        <v>92688.492845530753</v>
      </c>
      <c r="J91" s="13">
        <f t="shared" si="29"/>
        <v>102043.89594942673</v>
      </c>
      <c r="K91" s="13">
        <f t="shared" si="29"/>
        <v>107210.17498123934</v>
      </c>
      <c r="L91" s="13">
        <f t="shared" si="29"/>
        <v>111424.41562548556</v>
      </c>
      <c r="M91" s="13">
        <f t="shared" si="29"/>
        <v>111566.09289965853</v>
      </c>
      <c r="N91" s="13">
        <f t="shared" si="29"/>
        <v>112609.67175444379</v>
      </c>
    </row>
    <row r="92" spans="1:15" ht="5.25" customHeight="1" thickBot="1">
      <c r="A92" s="5"/>
      <c r="C92" s="68"/>
      <c r="E92" s="68"/>
      <c r="F92" s="112"/>
      <c r="G92" s="112"/>
      <c r="H92" s="112"/>
      <c r="I92" s="112"/>
      <c r="J92" s="112"/>
      <c r="K92" s="112"/>
      <c r="L92" s="112"/>
      <c r="M92" s="112"/>
      <c r="N92" s="112"/>
    </row>
    <row r="93" spans="1:15" ht="11" thickBot="1">
      <c r="A93" s="108" t="s">
        <v>288</v>
      </c>
      <c r="C93" s="13">
        <f>C84-C91</f>
        <v>104095.29199999999</v>
      </c>
      <c r="E93" s="13">
        <f t="shared" ref="E93:N93" si="30">E84-E91</f>
        <v>106815.86913599999</v>
      </c>
      <c r="F93" s="13">
        <f t="shared" si="30"/>
        <v>106015.12704600001</v>
      </c>
      <c r="G93" s="13">
        <f t="shared" si="30"/>
        <v>112961.41490150866</v>
      </c>
      <c r="H93" s="13">
        <f t="shared" si="30"/>
        <v>113012.84135512359</v>
      </c>
      <c r="I93" s="13">
        <f t="shared" si="30"/>
        <v>121646.37823106644</v>
      </c>
      <c r="J93" s="13">
        <f t="shared" si="30"/>
        <v>123008.14033071716</v>
      </c>
      <c r="K93" s="13">
        <f t="shared" si="30"/>
        <v>137587.32065634371</v>
      </c>
      <c r="L93" s="13">
        <f t="shared" si="30"/>
        <v>143087.30115601234</v>
      </c>
      <c r="M93" s="13">
        <f t="shared" si="30"/>
        <v>160174.0730407355</v>
      </c>
      <c r="N93" s="13">
        <f t="shared" si="30"/>
        <v>164849.8169209453</v>
      </c>
    </row>
    <row r="94" spans="1:15" ht="5.25" customHeight="1" thickBot="1">
      <c r="A94" s="5"/>
      <c r="C94" s="112"/>
      <c r="E94" s="112"/>
      <c r="F94" s="112"/>
      <c r="G94" s="112"/>
      <c r="H94" s="112"/>
      <c r="I94" s="112"/>
      <c r="J94" s="112"/>
      <c r="K94" s="112"/>
      <c r="L94" s="112"/>
      <c r="M94" s="112"/>
      <c r="N94" s="112"/>
    </row>
    <row r="95" spans="1:15" ht="11" thickBot="1">
      <c r="A95" s="106" t="s">
        <v>289</v>
      </c>
      <c r="C95" s="4"/>
      <c r="E95" s="4"/>
      <c r="F95" s="4"/>
      <c r="G95" s="4"/>
      <c r="H95" s="4"/>
      <c r="I95" s="4"/>
      <c r="J95" s="4"/>
      <c r="K95" s="4"/>
      <c r="L95" s="4"/>
      <c r="M95" s="4"/>
      <c r="N95" s="4"/>
      <c r="O95" s="105"/>
    </row>
    <row r="96" spans="1:15" ht="11" thickBot="1">
      <c r="A96" s="5" t="s">
        <v>290</v>
      </c>
      <c r="C96" s="68">
        <f>'5. Financials - drinking water'!C96+'6. Financials - wastewater'!C96+'7. Financials - stormwater'!C96</f>
        <v>0</v>
      </c>
      <c r="E96" s="68">
        <f>'5. Financials - drinking water'!E96+'6. Financials - wastewater'!E96+'7. Financials - stormwater'!E96</f>
        <v>3542.5771360000031</v>
      </c>
      <c r="F96" s="68">
        <f>'5. Financials - drinking water'!F96+'6. Financials - wastewater'!F96+'7. Financials - stormwater'!F96</f>
        <v>3542.5771360000031</v>
      </c>
      <c r="G96" s="68">
        <f>'5. Financials - drinking water'!G96+'6. Financials - wastewater'!G96+'7. Financials - stormwater'!G96</f>
        <v>10607.936871508631</v>
      </c>
      <c r="H96" s="68">
        <f>'5. Financials - drinking water'!H96+'6. Financials - wastewater'!H96+'7. Financials - stormwater'!H96</f>
        <v>10607.936871508631</v>
      </c>
      <c r="I96" s="68">
        <f>'5. Financials - drinking water'!I96+'6. Financials - wastewater'!I96+'7. Financials - stormwater'!I96</f>
        <v>20179.294908597178</v>
      </c>
      <c r="J96" s="68">
        <f>'5. Financials - drinking water'!J96+'6. Financials - wastewater'!J96+'7. Financials - stormwater'!J96</f>
        <v>20179.294908597178</v>
      </c>
      <c r="K96" s="68">
        <f>'5. Financials - drinking water'!K96+'6. Financials - wastewater'!K96+'7. Financials - stormwater'!K96</f>
        <v>31050.712325511675</v>
      </c>
      <c r="L96" s="68">
        <f>'5. Financials - drinking water'!L96+'6. Financials - wastewater'!L96+'7. Financials - stormwater'!L96</f>
        <v>31050.712325511675</v>
      </c>
      <c r="M96" s="68">
        <f>'5. Financials - drinking water'!M96+'6. Financials - wastewater'!M96+'7. Financials - stormwater'!M96</f>
        <v>43353.163182459946</v>
      </c>
      <c r="N96" s="68">
        <f>'5. Financials - drinking water'!N96+'6. Financials - wastewater'!N96+'7. Financials - stormwater'!N96</f>
        <v>43353.163182459946</v>
      </c>
    </row>
    <row r="97" spans="1:14" ht="11" thickBot="1">
      <c r="A97" s="5" t="s">
        <v>291</v>
      </c>
      <c r="C97" s="68">
        <f>'5. Financials - drinking water'!C97+'6. Financials - wastewater'!C97+'7. Financials - stormwater'!C97</f>
        <v>104095.29199999999</v>
      </c>
      <c r="E97" s="68">
        <f>'5. Financials - drinking water'!E97+'6. Financials - wastewater'!E97+'7. Financials - stormwater'!E97</f>
        <v>103273.29199999999</v>
      </c>
      <c r="F97" s="68">
        <f>'5. Financials - drinking water'!F97+'6. Financials - wastewater'!F97+'7. Financials - stormwater'!F97</f>
        <v>102472.54990999999</v>
      </c>
      <c r="G97" s="68">
        <f>'5. Financials - drinking water'!G97+'6. Financials - wastewater'!G97+'7. Financials - stormwater'!G97</f>
        <v>102353.47803</v>
      </c>
      <c r="H97" s="68">
        <f>'5. Financials - drinking water'!H97+'6. Financials - wastewater'!H97+'7. Financials - stormwater'!H97</f>
        <v>102404.90448361491</v>
      </c>
      <c r="I97" s="68">
        <f>'5. Financials - drinking water'!I97+'6. Financials - wastewater'!I97+'7. Financials - stormwater'!I97</f>
        <v>101467.08332246925</v>
      </c>
      <c r="J97" s="68">
        <f>'5. Financials - drinking water'!J97+'6. Financials - wastewater'!J97+'7. Financials - stormwater'!J97</f>
        <v>102828.84542211994</v>
      </c>
      <c r="K97" s="68">
        <f>'5. Financials - drinking water'!K97+'6. Financials - wastewater'!K97+'7. Financials - stormwater'!K97</f>
        <v>106536.60833083198</v>
      </c>
      <c r="L97" s="68">
        <f>'5. Financials - drinking water'!L97+'6. Financials - wastewater'!L97+'7. Financials - stormwater'!L97</f>
        <v>112036.58883050062</v>
      </c>
      <c r="M97" s="68">
        <f>'5. Financials - drinking water'!M97+'6. Financials - wastewater'!M97+'7. Financials - stormwater'!M97</f>
        <v>116820.90985827555</v>
      </c>
      <c r="N97" s="68">
        <f>'5. Financials - drinking water'!N97+'6. Financials - wastewater'!N97+'7. Financials - stormwater'!N97</f>
        <v>121496.6537384853</v>
      </c>
    </row>
    <row r="98" spans="1:14" ht="11" thickBot="1">
      <c r="A98" s="108" t="s">
        <v>292</v>
      </c>
      <c r="C98" s="13">
        <f>SUM(C96:C97)</f>
        <v>104095.29199999999</v>
      </c>
      <c r="E98" s="13">
        <f t="shared" ref="E98:N98" si="31">SUM(E96:E97)</f>
        <v>106815.86913599999</v>
      </c>
      <c r="F98" s="13">
        <f t="shared" si="31"/>
        <v>106015.12704599999</v>
      </c>
      <c r="G98" s="13">
        <f t="shared" si="31"/>
        <v>112961.41490150863</v>
      </c>
      <c r="H98" s="13">
        <f t="shared" si="31"/>
        <v>113012.84135512354</v>
      </c>
      <c r="I98" s="13">
        <f t="shared" si="31"/>
        <v>121646.37823106642</v>
      </c>
      <c r="J98" s="13">
        <f t="shared" si="31"/>
        <v>123008.14033071711</v>
      </c>
      <c r="K98" s="13">
        <f t="shared" si="31"/>
        <v>137587.32065634365</v>
      </c>
      <c r="L98" s="13">
        <f t="shared" si="31"/>
        <v>143087.30115601228</v>
      </c>
      <c r="M98" s="13">
        <f t="shared" si="31"/>
        <v>160174.0730407355</v>
      </c>
      <c r="N98" s="13">
        <f t="shared" si="31"/>
        <v>164849.81692094525</v>
      </c>
    </row>
  </sheetData>
  <pageMargins left="0.7" right="0.7" top="0.75" bottom="0.75" header="0.3" footer="0.3"/>
  <pageSetup paperSize="8"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623B-8833-4106-9D4E-F0EEB9F01A48}">
  <sheetPr codeName="Sheet30">
    <pageSetUpPr fitToPage="1"/>
  </sheetPr>
  <dimension ref="A1:P98"/>
  <sheetViews>
    <sheetView topLeftCell="A100" workbookViewId="0">
      <selection activeCell="A122" sqref="A100:XFD122"/>
    </sheetView>
  </sheetViews>
  <sheetFormatPr defaultColWidth="6.6328125" defaultRowHeight="10.5"/>
  <cols>
    <col min="1" max="1" width="67.6328125" style="1" customWidth="1"/>
    <col min="2" max="2" width="1.54296875" style="1" customWidth="1"/>
    <col min="3" max="3" width="12.7265625" style="1" customWidth="1"/>
    <col min="4" max="4" width="1.90625" style="1" customWidth="1"/>
    <col min="5" max="14" width="12.7265625" style="1" customWidth="1"/>
    <col min="15" max="16" width="9.54296875" style="1" customWidth="1"/>
    <col min="17" max="17" width="6.6328125" style="1"/>
    <col min="18" max="19" width="9.54296875" style="1" customWidth="1"/>
    <col min="20" max="16384" width="6.6328125" style="1"/>
  </cols>
  <sheetData>
    <row r="1" spans="1:16" ht="11" thickBot="1">
      <c r="A1" s="104" t="s">
        <v>222</v>
      </c>
      <c r="B1" s="91"/>
      <c r="C1" s="91" t="s">
        <v>29</v>
      </c>
      <c r="D1" s="91"/>
      <c r="E1" s="91" t="s">
        <v>19</v>
      </c>
      <c r="F1" s="91" t="s">
        <v>20</v>
      </c>
      <c r="G1" s="91" t="s">
        <v>21</v>
      </c>
      <c r="H1" s="91" t="s">
        <v>22</v>
      </c>
      <c r="I1" s="91" t="s">
        <v>23</v>
      </c>
      <c r="J1" s="91" t="s">
        <v>24</v>
      </c>
      <c r="K1" s="91" t="s">
        <v>25</v>
      </c>
      <c r="L1" s="91" t="s">
        <v>26</v>
      </c>
      <c r="M1" s="91" t="s">
        <v>27</v>
      </c>
      <c r="N1" s="91" t="s">
        <v>28</v>
      </c>
      <c r="O1" s="105"/>
      <c r="P1" s="91" t="s">
        <v>158</v>
      </c>
    </row>
    <row r="2" spans="1:16" ht="11" thickBot="1">
      <c r="A2" s="106" t="s">
        <v>223</v>
      </c>
      <c r="C2" s="4"/>
      <c r="E2" s="4"/>
      <c r="F2" s="4"/>
      <c r="G2" s="4"/>
      <c r="H2" s="4"/>
      <c r="I2" s="4"/>
      <c r="J2" s="4"/>
      <c r="K2" s="4"/>
      <c r="L2" s="4"/>
      <c r="M2" s="4"/>
      <c r="N2" s="4"/>
      <c r="O2" s="105"/>
      <c r="P2" s="4"/>
    </row>
    <row r="3" spans="1:16" ht="11" thickBot="1">
      <c r="A3" s="5" t="s">
        <v>224</v>
      </c>
      <c r="C3" s="113">
        <v>0</v>
      </c>
      <c r="E3" s="113">
        <v>0</v>
      </c>
      <c r="F3" s="113">
        <v>0</v>
      </c>
      <c r="G3" s="113">
        <v>0</v>
      </c>
      <c r="H3" s="113">
        <v>0</v>
      </c>
      <c r="I3" s="113">
        <v>0</v>
      </c>
      <c r="J3" s="113">
        <v>0</v>
      </c>
      <c r="K3" s="113">
        <v>0</v>
      </c>
      <c r="L3" s="113">
        <v>0</v>
      </c>
      <c r="M3" s="113">
        <v>0</v>
      </c>
      <c r="N3" s="113">
        <v>0</v>
      </c>
      <c r="P3" s="107">
        <f>SUM(E3:N3)</f>
        <v>0</v>
      </c>
    </row>
    <row r="4" spans="1:16" ht="11" thickBot="1">
      <c r="A4" s="5" t="s">
        <v>225</v>
      </c>
      <c r="C4" s="113">
        <v>4372.9054299999998</v>
      </c>
      <c r="E4" s="113">
        <v>5603</v>
      </c>
      <c r="F4" s="113">
        <v>5900.6495300000006</v>
      </c>
      <c r="G4" s="113">
        <v>6380.6500400000004</v>
      </c>
      <c r="H4" s="113">
        <v>6898.5003786073057</v>
      </c>
      <c r="I4" s="113">
        <v>7920.8079108625034</v>
      </c>
      <c r="J4" s="113">
        <v>7979.132752215065</v>
      </c>
      <c r="K4" s="113">
        <v>8497.449472162165</v>
      </c>
      <c r="L4" s="113">
        <v>8759.0917139421417</v>
      </c>
      <c r="M4" s="113">
        <v>8884.7389086103376</v>
      </c>
      <c r="N4" s="113">
        <v>9053.2181064451634</v>
      </c>
      <c r="P4" s="107">
        <f>SUM(E4:N4)</f>
        <v>75877.238812844691</v>
      </c>
    </row>
    <row r="5" spans="1:16" ht="11" thickBot="1">
      <c r="A5" s="5" t="s">
        <v>226</v>
      </c>
      <c r="C5" s="113">
        <v>183.30226000000002</v>
      </c>
      <c r="E5" s="113">
        <v>800</v>
      </c>
      <c r="F5" s="113">
        <v>541.63125000000002</v>
      </c>
      <c r="G5" s="113">
        <v>0</v>
      </c>
      <c r="H5" s="113">
        <v>0</v>
      </c>
      <c r="I5" s="113">
        <v>0</v>
      </c>
      <c r="J5" s="113">
        <v>0</v>
      </c>
      <c r="K5" s="113">
        <v>0</v>
      </c>
      <c r="L5" s="113">
        <v>0</v>
      </c>
      <c r="M5" s="113">
        <v>0</v>
      </c>
      <c r="N5" s="113">
        <v>0</v>
      </c>
      <c r="P5" s="107">
        <f>SUM(E5:N5)</f>
        <v>1341.6312499999999</v>
      </c>
    </row>
    <row r="6" spans="1:16" ht="11" thickBot="1">
      <c r="A6" s="5" t="s">
        <v>227</v>
      </c>
      <c r="C6" s="113">
        <v>129.12888839999999</v>
      </c>
      <c r="E6" s="113">
        <v>0</v>
      </c>
      <c r="F6" s="113">
        <v>125.53125</v>
      </c>
      <c r="G6" s="113">
        <v>0</v>
      </c>
      <c r="H6" s="113">
        <v>0</v>
      </c>
      <c r="I6" s="113">
        <v>0</v>
      </c>
      <c r="J6" s="113">
        <v>0</v>
      </c>
      <c r="K6" s="113">
        <v>0</v>
      </c>
      <c r="L6" s="113">
        <v>0</v>
      </c>
      <c r="M6" s="113">
        <v>0</v>
      </c>
      <c r="N6" s="113">
        <v>0</v>
      </c>
      <c r="P6" s="107">
        <f>SUM(E6:N6)</f>
        <v>125.53125</v>
      </c>
    </row>
    <row r="7" spans="1:16" ht="11" thickBot="1">
      <c r="A7" s="5" t="s">
        <v>228</v>
      </c>
      <c r="C7" s="113">
        <v>71.127660000000006</v>
      </c>
      <c r="E7" s="113">
        <v>11</v>
      </c>
      <c r="F7" s="113">
        <v>10.1</v>
      </c>
      <c r="G7" s="113">
        <v>10.1</v>
      </c>
      <c r="H7" s="113">
        <v>10.1</v>
      </c>
      <c r="I7" s="113">
        <v>10.1</v>
      </c>
      <c r="J7" s="113">
        <v>10.1</v>
      </c>
      <c r="K7" s="113">
        <v>10.1</v>
      </c>
      <c r="L7" s="113">
        <v>10.1</v>
      </c>
      <c r="M7" s="113">
        <v>10.1</v>
      </c>
      <c r="N7" s="113">
        <v>10.1</v>
      </c>
      <c r="P7" s="107">
        <f>SUM(E7:N7)</f>
        <v>101.89999999999999</v>
      </c>
    </row>
    <row r="8" spans="1:16" ht="11" thickBot="1">
      <c r="A8" s="108" t="s">
        <v>229</v>
      </c>
      <c r="C8" s="13">
        <f>SUM(C3:C7)</f>
        <v>4756.4642383999999</v>
      </c>
      <c r="E8" s="13">
        <f t="shared" ref="E8:M8" si="0">SUM(E3:E7)</f>
        <v>6414</v>
      </c>
      <c r="F8" s="13">
        <f t="shared" si="0"/>
        <v>6577.9120300000013</v>
      </c>
      <c r="G8" s="13">
        <f t="shared" si="0"/>
        <v>6390.7500400000008</v>
      </c>
      <c r="H8" s="13">
        <f t="shared" si="0"/>
        <v>6908.6003786073061</v>
      </c>
      <c r="I8" s="13">
        <f t="shared" si="0"/>
        <v>7930.9079108625037</v>
      </c>
      <c r="J8" s="13">
        <f t="shared" si="0"/>
        <v>7989.2327522150654</v>
      </c>
      <c r="K8" s="13">
        <f t="shared" si="0"/>
        <v>8507.5494721621653</v>
      </c>
      <c r="L8" s="13">
        <f t="shared" si="0"/>
        <v>8769.1917139421421</v>
      </c>
      <c r="M8" s="13">
        <f t="shared" si="0"/>
        <v>8894.838908610338</v>
      </c>
      <c r="N8" s="13">
        <f>SUM(N3:N7)</f>
        <v>9063.3181064451637</v>
      </c>
      <c r="P8" s="13">
        <f>SUM(P3:P7)</f>
        <v>77446.301312844691</v>
      </c>
    </row>
    <row r="9" spans="1:16" ht="5.25" customHeight="1" thickBot="1">
      <c r="A9" s="76"/>
      <c r="E9" s="109"/>
      <c r="F9" s="109"/>
      <c r="G9" s="109"/>
      <c r="H9" s="109"/>
      <c r="I9" s="109"/>
      <c r="J9" s="109"/>
      <c r="K9" s="109"/>
      <c r="L9" s="109"/>
      <c r="M9" s="109"/>
      <c r="N9" s="109"/>
    </row>
    <row r="10" spans="1:16" ht="11" thickBot="1">
      <c r="A10" s="106" t="s">
        <v>230</v>
      </c>
      <c r="C10" s="4"/>
      <c r="E10" s="4"/>
      <c r="F10" s="4"/>
      <c r="G10" s="4"/>
      <c r="H10" s="4"/>
      <c r="I10" s="4"/>
      <c r="J10" s="4"/>
      <c r="K10" s="4"/>
      <c r="L10" s="4"/>
      <c r="M10" s="4"/>
      <c r="N10" s="4"/>
      <c r="O10" s="105"/>
      <c r="P10" s="4"/>
    </row>
    <row r="11" spans="1:16" ht="11" thickBot="1">
      <c r="A11" s="5" t="s">
        <v>231</v>
      </c>
      <c r="C11" s="113">
        <v>3250.4505900000004</v>
      </c>
      <c r="E11" s="113">
        <v>4825.2</v>
      </c>
      <c r="F11" s="113">
        <v>4775.9961399999993</v>
      </c>
      <c r="G11" s="113">
        <v>4092.7321899999997</v>
      </c>
      <c r="H11" s="113">
        <v>4072.0076470114577</v>
      </c>
      <c r="I11" s="113">
        <v>4909.7578601867444</v>
      </c>
      <c r="J11" s="113">
        <v>4110.5404890430809</v>
      </c>
      <c r="K11" s="113">
        <v>4125.7183519702758</v>
      </c>
      <c r="L11" s="113">
        <v>4134.0240402181062</v>
      </c>
      <c r="M11" s="113">
        <v>4151.1904555564079</v>
      </c>
      <c r="N11" s="113">
        <v>4162.3178779348473</v>
      </c>
      <c r="P11" s="107">
        <f>SUM(E11:N11)</f>
        <v>43359.485051920921</v>
      </c>
    </row>
    <row r="12" spans="1:16" ht="11" thickBot="1">
      <c r="A12" s="5" t="s">
        <v>232</v>
      </c>
      <c r="C12" s="113">
        <v>97.983429999999998</v>
      </c>
      <c r="E12" s="113">
        <v>149.19999999999999</v>
      </c>
      <c r="F12" s="113">
        <v>352.36977000000002</v>
      </c>
      <c r="G12" s="113">
        <v>665.56921999999997</v>
      </c>
      <c r="H12" s="113">
        <v>1465.8395111529153</v>
      </c>
      <c r="I12" s="113">
        <v>1601.3392225515804</v>
      </c>
      <c r="J12" s="113">
        <v>1585.496823886454</v>
      </c>
      <c r="K12" s="113">
        <v>1344.8020018636664</v>
      </c>
      <c r="L12" s="113">
        <v>1178.3143305742778</v>
      </c>
      <c r="M12" s="113">
        <v>1157.2462648291603</v>
      </c>
      <c r="N12" s="113">
        <v>1173.8981450518329</v>
      </c>
      <c r="P12" s="107">
        <f>SUM(E12:N12)</f>
        <v>10674.075289909886</v>
      </c>
    </row>
    <row r="13" spans="1:16" ht="11" thickBot="1">
      <c r="A13" s="5" t="s">
        <v>233</v>
      </c>
      <c r="C13" s="113">
        <v>342.14759000000004</v>
      </c>
      <c r="E13" s="113">
        <v>497</v>
      </c>
      <c r="F13" s="113">
        <v>482.52605999999997</v>
      </c>
      <c r="G13" s="113">
        <v>491.60980999999998</v>
      </c>
      <c r="H13" s="113">
        <v>310.11738000000003</v>
      </c>
      <c r="I13" s="113">
        <v>301.01915000000008</v>
      </c>
      <c r="J13" s="113">
        <v>314.99966000000006</v>
      </c>
      <c r="K13" s="113">
        <v>303.69629000000009</v>
      </c>
      <c r="L13" s="113">
        <v>307.80658999999991</v>
      </c>
      <c r="M13" s="113">
        <v>300.22928000000002</v>
      </c>
      <c r="N13" s="113">
        <v>302.72700000000003</v>
      </c>
      <c r="P13" s="107">
        <f>SUM(E13:N13)</f>
        <v>3611.7312200000001</v>
      </c>
    </row>
    <row r="14" spans="1:16" ht="11" thickBot="1">
      <c r="A14" s="5" t="s">
        <v>234</v>
      </c>
      <c r="C14" s="113">
        <v>0</v>
      </c>
      <c r="E14" s="113">
        <v>0</v>
      </c>
      <c r="F14" s="113">
        <v>0</v>
      </c>
      <c r="G14" s="113">
        <v>0</v>
      </c>
      <c r="H14" s="113">
        <v>0</v>
      </c>
      <c r="I14" s="113">
        <v>0</v>
      </c>
      <c r="J14" s="113">
        <v>0</v>
      </c>
      <c r="K14" s="113">
        <v>0</v>
      </c>
      <c r="L14" s="113">
        <v>0</v>
      </c>
      <c r="M14" s="113">
        <v>0</v>
      </c>
      <c r="N14" s="113">
        <v>0</v>
      </c>
      <c r="P14" s="107">
        <f>SUM(E14:N14)</f>
        <v>0</v>
      </c>
    </row>
    <row r="15" spans="1:16" ht="11" thickBot="1">
      <c r="A15" s="108" t="s">
        <v>235</v>
      </c>
      <c r="C15" s="13">
        <f>SUM(C11:C14)</f>
        <v>3690.5816100000006</v>
      </c>
      <c r="E15" s="13">
        <f t="shared" ref="E15:M15" si="1">SUM(E11:E14)</f>
        <v>5471.4</v>
      </c>
      <c r="F15" s="13">
        <f t="shared" si="1"/>
        <v>5610.8919699999997</v>
      </c>
      <c r="G15" s="13">
        <f t="shared" si="1"/>
        <v>5249.91122</v>
      </c>
      <c r="H15" s="13">
        <f t="shared" si="1"/>
        <v>5847.9645381643732</v>
      </c>
      <c r="I15" s="13">
        <f t="shared" si="1"/>
        <v>6812.1162327383245</v>
      </c>
      <c r="J15" s="13">
        <f t="shared" si="1"/>
        <v>6011.0369729295353</v>
      </c>
      <c r="K15" s="13">
        <f t="shared" si="1"/>
        <v>5774.2166438339418</v>
      </c>
      <c r="L15" s="13">
        <f t="shared" si="1"/>
        <v>5620.1449607923842</v>
      </c>
      <c r="M15" s="13">
        <f t="shared" si="1"/>
        <v>5608.6660003855686</v>
      </c>
      <c r="N15" s="13">
        <f>SUM(N11:N14)</f>
        <v>5638.9430229866803</v>
      </c>
      <c r="P15" s="13">
        <f>SUM(P11:P14)</f>
        <v>57645.291561830811</v>
      </c>
    </row>
    <row r="16" spans="1:16" ht="5.25" customHeight="1" thickBot="1">
      <c r="A16" s="110"/>
    </row>
    <row r="17" spans="1:16" ht="11" thickBot="1">
      <c r="A17" s="108" t="s">
        <v>236</v>
      </c>
      <c r="C17" s="13">
        <f>C8-C15</f>
        <v>1065.8826283999992</v>
      </c>
      <c r="E17" s="13">
        <f t="shared" ref="E17:M17" si="2">E8-E15</f>
        <v>942.60000000000036</v>
      </c>
      <c r="F17" s="13">
        <f t="shared" si="2"/>
        <v>967.02006000000165</v>
      </c>
      <c r="G17" s="13">
        <f t="shared" si="2"/>
        <v>1140.8388200000009</v>
      </c>
      <c r="H17" s="13">
        <f t="shared" si="2"/>
        <v>1060.6358404429329</v>
      </c>
      <c r="I17" s="13">
        <f t="shared" si="2"/>
        <v>1118.7916781241793</v>
      </c>
      <c r="J17" s="13">
        <f t="shared" si="2"/>
        <v>1978.1957792855301</v>
      </c>
      <c r="K17" s="13">
        <f t="shared" si="2"/>
        <v>2733.3328283282235</v>
      </c>
      <c r="L17" s="13">
        <f t="shared" si="2"/>
        <v>3149.0467531497579</v>
      </c>
      <c r="M17" s="13">
        <f t="shared" si="2"/>
        <v>3286.1729082247693</v>
      </c>
      <c r="N17" s="13">
        <f>N8-N15</f>
        <v>3424.3750834584835</v>
      </c>
      <c r="P17" s="13">
        <f>P8-P15</f>
        <v>19801.00975101388</v>
      </c>
    </row>
    <row r="18" spans="1:16" ht="5.25" customHeight="1" thickBot="1">
      <c r="A18" s="76"/>
    </row>
    <row r="19" spans="1:16" ht="11" thickBot="1">
      <c r="A19" s="106" t="s">
        <v>237</v>
      </c>
      <c r="C19" s="4"/>
      <c r="E19" s="4"/>
      <c r="F19" s="4"/>
      <c r="G19" s="4"/>
      <c r="H19" s="4"/>
      <c r="I19" s="4"/>
      <c r="J19" s="4"/>
      <c r="K19" s="4"/>
      <c r="L19" s="4"/>
      <c r="M19" s="4"/>
      <c r="N19" s="4"/>
      <c r="O19" s="105"/>
      <c r="P19" s="4"/>
    </row>
    <row r="20" spans="1:16" ht="11" thickBot="1">
      <c r="A20" s="5" t="s">
        <v>238</v>
      </c>
      <c r="C20" s="113">
        <v>0</v>
      </c>
      <c r="E20" s="113">
        <v>0</v>
      </c>
      <c r="F20" s="113">
        <v>0</v>
      </c>
      <c r="G20" s="113">
        <v>0</v>
      </c>
      <c r="H20" s="113">
        <v>0</v>
      </c>
      <c r="I20" s="113">
        <v>0</v>
      </c>
      <c r="J20" s="113">
        <v>0</v>
      </c>
      <c r="K20" s="113">
        <v>0</v>
      </c>
      <c r="L20" s="113">
        <v>0</v>
      </c>
      <c r="M20" s="113">
        <v>0</v>
      </c>
      <c r="N20" s="113">
        <v>0</v>
      </c>
      <c r="P20" s="107">
        <f>SUM(E20:N20)</f>
        <v>0</v>
      </c>
    </row>
    <row r="21" spans="1:16" ht="11" thickBot="1">
      <c r="A21" s="5" t="s">
        <v>239</v>
      </c>
      <c r="C21" s="113">
        <v>238.61924999999999</v>
      </c>
      <c r="E21" s="113">
        <v>178</v>
      </c>
      <c r="F21" s="113">
        <v>171.39</v>
      </c>
      <c r="G21" s="113">
        <v>171.39</v>
      </c>
      <c r="H21" s="113">
        <v>171.39</v>
      </c>
      <c r="I21" s="113">
        <v>171.39</v>
      </c>
      <c r="J21" s="113">
        <v>171.39</v>
      </c>
      <c r="K21" s="113">
        <v>171.39</v>
      </c>
      <c r="L21" s="113">
        <v>171.39</v>
      </c>
      <c r="M21" s="113">
        <v>171.39</v>
      </c>
      <c r="N21" s="113">
        <v>171.39</v>
      </c>
      <c r="P21" s="107">
        <f>SUM(E21:N21)</f>
        <v>1720.5099999999993</v>
      </c>
    </row>
    <row r="22" spans="1:16" ht="11" thickBot="1">
      <c r="A22" s="5" t="s">
        <v>240</v>
      </c>
      <c r="C22" s="113">
        <v>-204.96</v>
      </c>
      <c r="E22" s="113">
        <v>9061</v>
      </c>
      <c r="F22" s="113">
        <v>7877.2560000000003</v>
      </c>
      <c r="G22" s="113">
        <v>5586.7532499999998</v>
      </c>
      <c r="H22" s="113">
        <v>1215.4487892520592</v>
      </c>
      <c r="I22" s="113">
        <v>1950.3682003758211</v>
      </c>
      <c r="J22" s="113">
        <v>1799.53018571844</v>
      </c>
      <c r="K22" s="113">
        <v>1605.7570357470031</v>
      </c>
      <c r="L22" s="113">
        <v>1435.4571241563297</v>
      </c>
      <c r="M22" s="113">
        <v>1371.0669859433506</v>
      </c>
      <c r="N22" s="113">
        <v>1381.1164658759003</v>
      </c>
      <c r="P22" s="107">
        <f>SUM(E22:N22)</f>
        <v>33283.754037068902</v>
      </c>
    </row>
    <row r="23" spans="1:16" ht="11" thickBot="1">
      <c r="A23" s="5" t="s">
        <v>241</v>
      </c>
      <c r="C23" s="113">
        <v>0</v>
      </c>
      <c r="E23" s="113">
        <v>0</v>
      </c>
      <c r="F23" s="113">
        <v>0</v>
      </c>
      <c r="G23" s="113">
        <v>0</v>
      </c>
      <c r="H23" s="113">
        <v>0</v>
      </c>
      <c r="I23" s="113">
        <v>0</v>
      </c>
      <c r="J23" s="113">
        <v>0</v>
      </c>
      <c r="K23" s="113">
        <v>0</v>
      </c>
      <c r="L23" s="113">
        <v>0</v>
      </c>
      <c r="M23" s="113">
        <v>0</v>
      </c>
      <c r="N23" s="113">
        <v>0</v>
      </c>
      <c r="P23" s="107">
        <f>SUM(E23:N23)</f>
        <v>0</v>
      </c>
    </row>
    <row r="24" spans="1:16" ht="11" thickBot="1">
      <c r="A24" s="5" t="s">
        <v>242</v>
      </c>
      <c r="C24" s="113">
        <v>0</v>
      </c>
      <c r="E24" s="113">
        <v>0</v>
      </c>
      <c r="F24" s="113">
        <v>0</v>
      </c>
      <c r="G24" s="113">
        <v>0</v>
      </c>
      <c r="H24" s="113">
        <v>0</v>
      </c>
      <c r="I24" s="113">
        <v>0</v>
      </c>
      <c r="J24" s="113">
        <v>0</v>
      </c>
      <c r="K24" s="113">
        <v>0</v>
      </c>
      <c r="L24" s="113">
        <v>0</v>
      </c>
      <c r="M24" s="113">
        <v>0</v>
      </c>
      <c r="N24" s="113">
        <v>0</v>
      </c>
      <c r="P24" s="107">
        <f>SUM(E24:N24)</f>
        <v>0</v>
      </c>
    </row>
    <row r="25" spans="1:16" ht="11" thickBot="1">
      <c r="A25" s="108" t="s">
        <v>243</v>
      </c>
      <c r="C25" s="13">
        <f>SUM(C20:C24)</f>
        <v>33.659249999999986</v>
      </c>
      <c r="E25" s="13">
        <f t="shared" ref="E25:M25" si="3">SUM(E20:E24)</f>
        <v>9239</v>
      </c>
      <c r="F25" s="13">
        <f t="shared" si="3"/>
        <v>8048.6460000000006</v>
      </c>
      <c r="G25" s="13">
        <f t="shared" si="3"/>
        <v>5758.1432500000001</v>
      </c>
      <c r="H25" s="13">
        <f t="shared" si="3"/>
        <v>1386.8387892520591</v>
      </c>
      <c r="I25" s="13">
        <f t="shared" si="3"/>
        <v>2121.7582003758212</v>
      </c>
      <c r="J25" s="13">
        <f t="shared" si="3"/>
        <v>1970.9201857184398</v>
      </c>
      <c r="K25" s="13">
        <f t="shared" si="3"/>
        <v>1777.147035747003</v>
      </c>
      <c r="L25" s="13">
        <f t="shared" si="3"/>
        <v>1606.8471241563298</v>
      </c>
      <c r="M25" s="13">
        <f t="shared" si="3"/>
        <v>1542.4569859433504</v>
      </c>
      <c r="N25" s="13">
        <f>SUM(N20:N24)</f>
        <v>1552.5064658759002</v>
      </c>
      <c r="P25" s="13">
        <f>SUM(P20:P24)</f>
        <v>35004.264037068904</v>
      </c>
    </row>
    <row r="26" spans="1:16" ht="5.25" customHeight="1" thickBot="1">
      <c r="A26" s="76"/>
    </row>
    <row r="27" spans="1:16" ht="11" thickBot="1">
      <c r="A27" s="106" t="s">
        <v>244</v>
      </c>
      <c r="C27" s="4"/>
      <c r="E27" s="4"/>
      <c r="F27" s="4"/>
      <c r="G27" s="4"/>
      <c r="H27" s="4"/>
      <c r="I27" s="4"/>
      <c r="J27" s="4"/>
      <c r="K27" s="4"/>
      <c r="L27" s="4"/>
      <c r="M27" s="4"/>
      <c r="N27" s="4"/>
      <c r="O27" s="105"/>
      <c r="P27" s="4"/>
    </row>
    <row r="28" spans="1:16" ht="11" thickBot="1">
      <c r="A28" s="5" t="s">
        <v>194</v>
      </c>
      <c r="C28" s="113">
        <v>0</v>
      </c>
      <c r="E28" s="113">
        <v>0</v>
      </c>
      <c r="F28" s="113">
        <v>0</v>
      </c>
      <c r="G28" s="113">
        <v>0</v>
      </c>
      <c r="H28" s="113">
        <v>0</v>
      </c>
      <c r="I28" s="113">
        <v>0</v>
      </c>
      <c r="J28" s="113">
        <v>0</v>
      </c>
      <c r="K28" s="113">
        <v>0</v>
      </c>
      <c r="L28" s="113">
        <v>0</v>
      </c>
      <c r="M28" s="113">
        <v>0</v>
      </c>
      <c r="N28" s="113">
        <v>0</v>
      </c>
      <c r="P28" s="107">
        <f>SUM(E28:N28)</f>
        <v>0</v>
      </c>
    </row>
    <row r="29" spans="1:16" ht="11" thickBot="1">
      <c r="A29" s="5" t="s">
        <v>195</v>
      </c>
      <c r="C29" s="113">
        <v>0</v>
      </c>
      <c r="E29" s="113">
        <v>4397.2</v>
      </c>
      <c r="F29" s="113">
        <v>3828.8960000000002</v>
      </c>
      <c r="G29" s="113">
        <v>2735.7179999999998</v>
      </c>
      <c r="H29" s="113">
        <v>533.75315950000004</v>
      </c>
      <c r="I29" s="113">
        <v>1846.2998785000002</v>
      </c>
      <c r="J29" s="113">
        <v>1866.0362135124237</v>
      </c>
      <c r="K29" s="113">
        <v>2067.8123228837999</v>
      </c>
      <c r="L29" s="113">
        <v>2036.0631892856397</v>
      </c>
      <c r="M29" s="113">
        <v>2041.3755946416456</v>
      </c>
      <c r="N29" s="113">
        <v>1742.2781212549826</v>
      </c>
      <c r="P29" s="107">
        <f>SUM(E29:N29)</f>
        <v>23095.432479578489</v>
      </c>
    </row>
    <row r="30" spans="1:16" ht="11" thickBot="1">
      <c r="A30" s="5" t="s">
        <v>196</v>
      </c>
      <c r="C30" s="113">
        <v>1181.78035</v>
      </c>
      <c r="E30" s="113">
        <v>4955.2</v>
      </c>
      <c r="F30" s="113">
        <v>5186.7700000000004</v>
      </c>
      <c r="G30" s="113">
        <v>4163.2640000000001</v>
      </c>
      <c r="H30" s="113">
        <v>1394.25</v>
      </c>
      <c r="I30" s="113">
        <v>1394.25</v>
      </c>
      <c r="J30" s="113">
        <v>2083.0797514915462</v>
      </c>
      <c r="K30" s="113">
        <v>2442.6675411914266</v>
      </c>
      <c r="L30" s="113">
        <v>2719.8306880204477</v>
      </c>
      <c r="M30" s="113">
        <v>2787.2542995264744</v>
      </c>
      <c r="N30" s="113">
        <v>3234.6034280794015</v>
      </c>
      <c r="P30" s="107">
        <f>SUM(E30:N30)</f>
        <v>30361.169708309295</v>
      </c>
    </row>
    <row r="31" spans="1:16" ht="11" thickBot="1">
      <c r="A31" s="5" t="s">
        <v>245</v>
      </c>
      <c r="C31" s="113">
        <v>-82.238471600001304</v>
      </c>
      <c r="E31" s="113">
        <v>829.2</v>
      </c>
      <c r="F31" s="113">
        <v>0</v>
      </c>
      <c r="G31" s="113">
        <v>0</v>
      </c>
      <c r="H31" s="113">
        <v>0</v>
      </c>
      <c r="I31" s="113">
        <v>0</v>
      </c>
      <c r="J31" s="113">
        <v>0</v>
      </c>
      <c r="K31" s="113">
        <v>0</v>
      </c>
      <c r="L31" s="113">
        <v>0</v>
      </c>
      <c r="M31" s="113">
        <v>0</v>
      </c>
      <c r="N31" s="113">
        <v>0</v>
      </c>
      <c r="P31" s="107">
        <f>SUM(E31:N31)</f>
        <v>829.2</v>
      </c>
    </row>
    <row r="32" spans="1:16" ht="11" thickBot="1">
      <c r="A32" s="5" t="s">
        <v>246</v>
      </c>
      <c r="C32" s="113">
        <v>0</v>
      </c>
      <c r="E32" s="113">
        <v>0</v>
      </c>
      <c r="F32" s="113">
        <v>0</v>
      </c>
      <c r="G32" s="113">
        <v>0</v>
      </c>
      <c r="H32" s="113">
        <v>519.47147019499243</v>
      </c>
      <c r="I32" s="113">
        <v>0</v>
      </c>
      <c r="J32" s="113">
        <v>0</v>
      </c>
      <c r="K32" s="113">
        <v>0</v>
      </c>
      <c r="L32" s="113">
        <v>0</v>
      </c>
      <c r="M32" s="113">
        <v>0</v>
      </c>
      <c r="N32" s="113">
        <v>0</v>
      </c>
      <c r="P32" s="107">
        <f>SUM(E32:N32)</f>
        <v>519.47147019499243</v>
      </c>
    </row>
    <row r="33" spans="1:16" ht="11" thickBot="1">
      <c r="A33" s="108" t="s">
        <v>247</v>
      </c>
      <c r="C33" s="13">
        <f>SUM(C28:C32)</f>
        <v>1099.5418783999987</v>
      </c>
      <c r="E33" s="13">
        <f t="shared" ref="E33:M33" si="4">SUM(E28:E32)</f>
        <v>10181.6</v>
      </c>
      <c r="F33" s="13">
        <f t="shared" si="4"/>
        <v>9015.6660000000011</v>
      </c>
      <c r="G33" s="13">
        <f t="shared" si="4"/>
        <v>6898.982</v>
      </c>
      <c r="H33" s="13">
        <f t="shared" si="4"/>
        <v>2447.4746296949925</v>
      </c>
      <c r="I33" s="13">
        <f t="shared" si="4"/>
        <v>3240.5498785</v>
      </c>
      <c r="J33" s="13">
        <f t="shared" si="4"/>
        <v>3949.1159650039699</v>
      </c>
      <c r="K33" s="13">
        <f t="shared" si="4"/>
        <v>4510.4798640752269</v>
      </c>
      <c r="L33" s="13">
        <f t="shared" si="4"/>
        <v>4755.8938773060872</v>
      </c>
      <c r="M33" s="13">
        <f t="shared" si="4"/>
        <v>4828.6298941681198</v>
      </c>
      <c r="N33" s="13">
        <f>SUM(N28:N32)</f>
        <v>4976.8815493343845</v>
      </c>
      <c r="P33" s="13">
        <f>SUM(P28:P32)</f>
        <v>54805.27365808277</v>
      </c>
    </row>
    <row r="34" spans="1:16" ht="5.25" customHeight="1" thickBot="1">
      <c r="A34" s="110"/>
    </row>
    <row r="35" spans="1:16" ht="11" thickBot="1">
      <c r="A35" s="108" t="s">
        <v>248</v>
      </c>
      <c r="C35" s="13">
        <f>C25-C33</f>
        <v>-1065.8826283999988</v>
      </c>
      <c r="E35" s="13">
        <f t="shared" ref="E35:M35" si="5">E25-E33</f>
        <v>-942.60000000000036</v>
      </c>
      <c r="F35" s="13">
        <f t="shared" si="5"/>
        <v>-967.02000000000044</v>
      </c>
      <c r="G35" s="13">
        <f t="shared" si="5"/>
        <v>-1140.8387499999999</v>
      </c>
      <c r="H35" s="13">
        <f t="shared" si="5"/>
        <v>-1060.6358404429334</v>
      </c>
      <c r="I35" s="13">
        <f t="shared" si="5"/>
        <v>-1118.7916781241788</v>
      </c>
      <c r="J35" s="13">
        <f t="shared" si="5"/>
        <v>-1978.1957792855301</v>
      </c>
      <c r="K35" s="13">
        <f t="shared" si="5"/>
        <v>-2733.332828328224</v>
      </c>
      <c r="L35" s="13">
        <f t="shared" si="5"/>
        <v>-3149.0467531497575</v>
      </c>
      <c r="M35" s="13">
        <f t="shared" si="5"/>
        <v>-3286.1729082247693</v>
      </c>
      <c r="N35" s="13">
        <f>N25-N33</f>
        <v>-3424.3750834584844</v>
      </c>
      <c r="P35" s="13">
        <f>P25-P33</f>
        <v>-19801.009621013865</v>
      </c>
    </row>
    <row r="36" spans="1:16" ht="5.25" customHeight="1" thickBot="1">
      <c r="A36" s="111"/>
    </row>
    <row r="37" spans="1:16" ht="11" thickBot="1">
      <c r="A37" s="108" t="s">
        <v>249</v>
      </c>
      <c r="C37" s="13">
        <f>C17+C35</f>
        <v>0</v>
      </c>
      <c r="E37" s="13">
        <f t="shared" ref="E37:M37" si="6">E17+E35</f>
        <v>0</v>
      </c>
      <c r="F37" s="13">
        <f t="shared" si="6"/>
        <v>6.0000001212756615E-5</v>
      </c>
      <c r="G37" s="13">
        <f t="shared" si="6"/>
        <v>7.0000000960135367E-5</v>
      </c>
      <c r="H37" s="13">
        <f t="shared" si="6"/>
        <v>0</v>
      </c>
      <c r="I37" s="13">
        <f t="shared" si="6"/>
        <v>0</v>
      </c>
      <c r="J37" s="13">
        <f t="shared" si="6"/>
        <v>0</v>
      </c>
      <c r="K37" s="13">
        <f t="shared" si="6"/>
        <v>0</v>
      </c>
      <c r="L37" s="13">
        <f t="shared" si="6"/>
        <v>0</v>
      </c>
      <c r="M37" s="13">
        <f t="shared" si="6"/>
        <v>0</v>
      </c>
      <c r="N37" s="13">
        <f>N17+N35</f>
        <v>0</v>
      </c>
      <c r="P37" s="13">
        <f>P17+P35</f>
        <v>1.3000001490581781E-4</v>
      </c>
    </row>
    <row r="38" spans="1:16" ht="11" thickBot="1"/>
    <row r="39" spans="1:16" ht="11" thickBot="1">
      <c r="A39" s="104" t="s">
        <v>250</v>
      </c>
      <c r="B39" s="91"/>
      <c r="C39" s="91" t="s">
        <v>29</v>
      </c>
      <c r="D39" s="91"/>
      <c r="E39" s="91" t="s">
        <v>19</v>
      </c>
      <c r="F39" s="91" t="s">
        <v>20</v>
      </c>
      <c r="G39" s="91" t="s">
        <v>21</v>
      </c>
      <c r="H39" s="91" t="s">
        <v>22</v>
      </c>
      <c r="I39" s="91" t="s">
        <v>23</v>
      </c>
      <c r="J39" s="91" t="s">
        <v>24</v>
      </c>
      <c r="K39" s="91" t="s">
        <v>25</v>
      </c>
      <c r="L39" s="91" t="s">
        <v>26</v>
      </c>
      <c r="M39" s="91" t="s">
        <v>27</v>
      </c>
      <c r="N39" s="91" t="s">
        <v>28</v>
      </c>
      <c r="O39" s="105"/>
    </row>
    <row r="40" spans="1:16" ht="11" thickBot="1">
      <c r="A40" s="5" t="s">
        <v>180</v>
      </c>
      <c r="C40" s="68">
        <f>C$8</f>
        <v>4756.4642383999999</v>
      </c>
      <c r="E40" s="68">
        <f t="shared" ref="E40:N40" si="7">E$8</f>
        <v>6414</v>
      </c>
      <c r="F40" s="68">
        <f t="shared" si="7"/>
        <v>6577.9120300000013</v>
      </c>
      <c r="G40" s="68">
        <f t="shared" si="7"/>
        <v>6390.7500400000008</v>
      </c>
      <c r="H40" s="68">
        <f t="shared" si="7"/>
        <v>6908.6003786073061</v>
      </c>
      <c r="I40" s="68">
        <f t="shared" si="7"/>
        <v>7930.9079108625037</v>
      </c>
      <c r="J40" s="68">
        <f t="shared" si="7"/>
        <v>7989.2327522150654</v>
      </c>
      <c r="K40" s="68">
        <f t="shared" si="7"/>
        <v>8507.5494721621653</v>
      </c>
      <c r="L40" s="68">
        <f t="shared" si="7"/>
        <v>8769.1917139421421</v>
      </c>
      <c r="M40" s="68">
        <f t="shared" si="7"/>
        <v>8894.838908610338</v>
      </c>
      <c r="N40" s="68">
        <f t="shared" si="7"/>
        <v>9063.3181064451637</v>
      </c>
    </row>
    <row r="41" spans="1:16" ht="11" thickBot="1">
      <c r="A41" s="5" t="s">
        <v>251</v>
      </c>
      <c r="C41" s="68">
        <f>C$20+C$21+C$23+C$24</f>
        <v>238.61924999999999</v>
      </c>
      <c r="E41" s="68">
        <f t="shared" ref="E41:N41" si="8">E$20+E$21+E$23+E$24</f>
        <v>178</v>
      </c>
      <c r="F41" s="68">
        <f t="shared" si="8"/>
        <v>171.39</v>
      </c>
      <c r="G41" s="68">
        <f t="shared" si="8"/>
        <v>171.39</v>
      </c>
      <c r="H41" s="68">
        <f t="shared" si="8"/>
        <v>171.39</v>
      </c>
      <c r="I41" s="68">
        <f t="shared" si="8"/>
        <v>171.39</v>
      </c>
      <c r="J41" s="68">
        <f t="shared" si="8"/>
        <v>171.39</v>
      </c>
      <c r="K41" s="68">
        <f t="shared" si="8"/>
        <v>171.39</v>
      </c>
      <c r="L41" s="68">
        <f t="shared" si="8"/>
        <v>171.39</v>
      </c>
      <c r="M41" s="68">
        <f t="shared" si="8"/>
        <v>171.39</v>
      </c>
      <c r="N41" s="68">
        <f t="shared" si="8"/>
        <v>171.39</v>
      </c>
    </row>
    <row r="42" spans="1:16" ht="11" thickBot="1">
      <c r="A42" s="108" t="s">
        <v>252</v>
      </c>
      <c r="C42" s="13">
        <f>SUM(C40:C41)</f>
        <v>4995.0834883999996</v>
      </c>
      <c r="E42" s="13">
        <f t="shared" ref="E42:N42" si="9">SUM(E40:E41)</f>
        <v>6592</v>
      </c>
      <c r="F42" s="13">
        <f t="shared" si="9"/>
        <v>6749.3020300000017</v>
      </c>
      <c r="G42" s="13">
        <f t="shared" si="9"/>
        <v>6562.1400400000011</v>
      </c>
      <c r="H42" s="13">
        <f t="shared" si="9"/>
        <v>7079.9903786073064</v>
      </c>
      <c r="I42" s="13">
        <f t="shared" si="9"/>
        <v>8102.2979108625041</v>
      </c>
      <c r="J42" s="13">
        <f t="shared" si="9"/>
        <v>8160.6227522150657</v>
      </c>
      <c r="K42" s="13">
        <f t="shared" si="9"/>
        <v>8678.9394721621647</v>
      </c>
      <c r="L42" s="13">
        <f t="shared" si="9"/>
        <v>8940.5817139421415</v>
      </c>
      <c r="M42" s="13">
        <f t="shared" si="9"/>
        <v>9066.2289086103374</v>
      </c>
      <c r="N42" s="13">
        <f t="shared" si="9"/>
        <v>9234.7081064451631</v>
      </c>
    </row>
    <row r="43" spans="1:16" ht="5.25" customHeight="1" thickBot="1">
      <c r="A43" s="5"/>
      <c r="C43" s="112"/>
      <c r="E43" s="112"/>
      <c r="F43" s="112"/>
      <c r="G43" s="112"/>
      <c r="H43" s="112"/>
      <c r="I43" s="112"/>
      <c r="J43" s="112"/>
      <c r="K43" s="112"/>
      <c r="L43" s="112"/>
      <c r="M43" s="112"/>
      <c r="N43" s="112"/>
    </row>
    <row r="44" spans="1:16" ht="11" thickBot="1">
      <c r="A44" s="5" t="s">
        <v>253</v>
      </c>
      <c r="C44" s="68">
        <f>C$11+C$14</f>
        <v>3250.4505900000004</v>
      </c>
      <c r="E44" s="68">
        <f t="shared" ref="E44:N44" si="10">E$11+E$14</f>
        <v>4825.2</v>
      </c>
      <c r="F44" s="68">
        <f t="shared" si="10"/>
        <v>4775.9961399999993</v>
      </c>
      <c r="G44" s="68">
        <f t="shared" si="10"/>
        <v>4092.7321899999997</v>
      </c>
      <c r="H44" s="68">
        <f t="shared" si="10"/>
        <v>4072.0076470114577</v>
      </c>
      <c r="I44" s="68">
        <f t="shared" si="10"/>
        <v>4909.7578601867444</v>
      </c>
      <c r="J44" s="68">
        <f t="shared" si="10"/>
        <v>4110.5404890430809</v>
      </c>
      <c r="K44" s="68">
        <f t="shared" si="10"/>
        <v>4125.7183519702758</v>
      </c>
      <c r="L44" s="68">
        <f t="shared" si="10"/>
        <v>4134.0240402181062</v>
      </c>
      <c r="M44" s="68">
        <f t="shared" si="10"/>
        <v>4151.1904555564079</v>
      </c>
      <c r="N44" s="68">
        <f t="shared" si="10"/>
        <v>4162.3178779348473</v>
      </c>
    </row>
    <row r="45" spans="1:16" ht="11" thickBot="1">
      <c r="A45" s="5" t="s">
        <v>232</v>
      </c>
      <c r="C45" s="68">
        <f>C$12</f>
        <v>97.983429999999998</v>
      </c>
      <c r="E45" s="68">
        <f t="shared" ref="E45:N45" si="11">E$12</f>
        <v>149.19999999999999</v>
      </c>
      <c r="F45" s="68">
        <f t="shared" si="11"/>
        <v>352.36977000000002</v>
      </c>
      <c r="G45" s="68">
        <f t="shared" si="11"/>
        <v>665.56921999999997</v>
      </c>
      <c r="H45" s="68">
        <f t="shared" si="11"/>
        <v>1465.8395111529153</v>
      </c>
      <c r="I45" s="68">
        <f t="shared" si="11"/>
        <v>1601.3392225515804</v>
      </c>
      <c r="J45" s="68">
        <f t="shared" si="11"/>
        <v>1585.496823886454</v>
      </c>
      <c r="K45" s="68">
        <f t="shared" si="11"/>
        <v>1344.8020018636664</v>
      </c>
      <c r="L45" s="68">
        <f t="shared" si="11"/>
        <v>1178.3143305742778</v>
      </c>
      <c r="M45" s="68">
        <f t="shared" si="11"/>
        <v>1157.2462648291603</v>
      </c>
      <c r="N45" s="68">
        <f t="shared" si="11"/>
        <v>1173.8981450518329</v>
      </c>
    </row>
    <row r="46" spans="1:16" ht="11" thickBot="1">
      <c r="A46" s="5" t="s">
        <v>254</v>
      </c>
      <c r="C46" s="68">
        <f>C$13</f>
        <v>342.14759000000004</v>
      </c>
      <c r="E46" s="68">
        <f t="shared" ref="E46:N46" si="12">E$13</f>
        <v>497</v>
      </c>
      <c r="F46" s="68">
        <f t="shared" si="12"/>
        <v>482.52605999999997</v>
      </c>
      <c r="G46" s="68">
        <f t="shared" si="12"/>
        <v>491.60980999999998</v>
      </c>
      <c r="H46" s="68">
        <f t="shared" si="12"/>
        <v>310.11738000000003</v>
      </c>
      <c r="I46" s="68">
        <f t="shared" si="12"/>
        <v>301.01915000000008</v>
      </c>
      <c r="J46" s="68">
        <f t="shared" si="12"/>
        <v>314.99966000000006</v>
      </c>
      <c r="K46" s="68">
        <f t="shared" si="12"/>
        <v>303.69629000000009</v>
      </c>
      <c r="L46" s="68">
        <f t="shared" si="12"/>
        <v>307.80658999999991</v>
      </c>
      <c r="M46" s="68">
        <f t="shared" si="12"/>
        <v>300.22928000000002</v>
      </c>
      <c r="N46" s="68">
        <f t="shared" si="12"/>
        <v>302.72700000000003</v>
      </c>
    </row>
    <row r="47" spans="1:16" ht="11" thickBot="1">
      <c r="A47" s="5" t="s">
        <v>255</v>
      </c>
      <c r="C47" s="68">
        <f>Input!O18</f>
        <v>1041.88753</v>
      </c>
      <c r="E47" s="68">
        <f>Input!C$18</f>
        <v>1310</v>
      </c>
      <c r="F47" s="68">
        <f>Input!D$18</f>
        <v>1486.0277699999999</v>
      </c>
      <c r="G47" s="68">
        <f>Input!E$18</f>
        <v>1744.31016</v>
      </c>
      <c r="H47" s="68">
        <f>Input!F$18</f>
        <v>1812.7080000000001</v>
      </c>
      <c r="I47" s="68">
        <f>Input!G$18</f>
        <v>2024.26424</v>
      </c>
      <c r="J47" s="68">
        <f>Input!H$18</f>
        <v>2091.4024099999997</v>
      </c>
      <c r="K47" s="68">
        <f>Input!I$18</f>
        <v>2347.5750284459996</v>
      </c>
      <c r="L47" s="68">
        <f>Input!J$18</f>
        <v>2423.1718374199891</v>
      </c>
      <c r="M47" s="68">
        <f>Input!K$18</f>
        <v>2655.6758890052065</v>
      </c>
      <c r="N47" s="68">
        <f>Input!L$18</f>
        <v>2730.4941943520726</v>
      </c>
    </row>
    <row r="48" spans="1:16" ht="11" thickBot="1">
      <c r="A48" s="108" t="s">
        <v>256</v>
      </c>
      <c r="C48" s="13">
        <f>SUM(C44:C47)</f>
        <v>4732.4691400000011</v>
      </c>
      <c r="E48" s="13">
        <f t="shared" ref="E48:N48" si="13">SUM(E44:E47)</f>
        <v>6781.4</v>
      </c>
      <c r="F48" s="13">
        <f t="shared" si="13"/>
        <v>7096.9197399999994</v>
      </c>
      <c r="G48" s="13">
        <f t="shared" si="13"/>
        <v>6994.22138</v>
      </c>
      <c r="H48" s="13">
        <f t="shared" si="13"/>
        <v>7660.6725381643737</v>
      </c>
      <c r="I48" s="13">
        <f t="shared" si="13"/>
        <v>8836.3804727383249</v>
      </c>
      <c r="J48" s="13">
        <f t="shared" si="13"/>
        <v>8102.439382929535</v>
      </c>
      <c r="K48" s="13">
        <f t="shared" si="13"/>
        <v>8121.7916722799418</v>
      </c>
      <c r="L48" s="13">
        <f t="shared" si="13"/>
        <v>8043.3167982123732</v>
      </c>
      <c r="M48" s="13">
        <f t="shared" si="13"/>
        <v>8264.3418893907747</v>
      </c>
      <c r="N48" s="13">
        <f t="shared" si="13"/>
        <v>8369.4372173387528</v>
      </c>
    </row>
    <row r="49" spans="1:15" ht="5.25" customHeight="1" thickBot="1">
      <c r="A49" s="5"/>
      <c r="C49" s="68"/>
      <c r="E49" s="112"/>
      <c r="F49" s="112"/>
      <c r="G49" s="112"/>
      <c r="H49" s="112"/>
      <c r="I49" s="112"/>
      <c r="J49" s="112"/>
      <c r="K49" s="112"/>
      <c r="L49" s="112"/>
      <c r="M49" s="112"/>
      <c r="N49" s="112"/>
    </row>
    <row r="50" spans="1:15" ht="11" thickBot="1">
      <c r="A50" s="108" t="s">
        <v>257</v>
      </c>
      <c r="C50" s="13">
        <f>C42-C48</f>
        <v>262.61434839999856</v>
      </c>
      <c r="E50" s="13">
        <f t="shared" ref="E50:N50" si="14">E42-E48</f>
        <v>-189.39999999999964</v>
      </c>
      <c r="F50" s="13">
        <f t="shared" si="14"/>
        <v>-347.61770999999771</v>
      </c>
      <c r="G50" s="13">
        <f t="shared" si="14"/>
        <v>-432.08133999999882</v>
      </c>
      <c r="H50" s="13">
        <f t="shared" si="14"/>
        <v>-580.68215955706728</v>
      </c>
      <c r="I50" s="13">
        <f t="shared" si="14"/>
        <v>-734.08256187582083</v>
      </c>
      <c r="J50" s="13">
        <f t="shared" si="14"/>
        <v>58.183369285530716</v>
      </c>
      <c r="K50" s="13">
        <f t="shared" si="14"/>
        <v>557.1477998822229</v>
      </c>
      <c r="L50" s="13">
        <f t="shared" si="14"/>
        <v>897.26491572976829</v>
      </c>
      <c r="M50" s="13">
        <f t="shared" si="14"/>
        <v>801.88701921956272</v>
      </c>
      <c r="N50" s="13">
        <f t="shared" si="14"/>
        <v>865.27088910641032</v>
      </c>
    </row>
    <row r="51" spans="1:15" ht="5.25" customHeight="1" thickBot="1">
      <c r="A51" s="5"/>
      <c r="C51" s="68"/>
      <c r="E51" s="112"/>
      <c r="F51" s="112"/>
      <c r="G51" s="112"/>
      <c r="H51" s="112"/>
      <c r="I51" s="112"/>
      <c r="J51" s="112"/>
      <c r="K51" s="112"/>
      <c r="L51" s="112"/>
      <c r="M51" s="112"/>
      <c r="N51" s="112"/>
    </row>
    <row r="52" spans="1:15" ht="11" thickBot="1">
      <c r="A52" s="5" t="s">
        <v>258</v>
      </c>
      <c r="C52" s="68">
        <f>Input!O23</f>
        <v>8909.5748846228562</v>
      </c>
      <c r="E52" s="68">
        <f>Input!C$23</f>
        <v>1375.6865640000012</v>
      </c>
      <c r="F52" s="68">
        <f>Input!D$23</f>
        <v>0</v>
      </c>
      <c r="G52" s="68">
        <f>Input!E$23</f>
        <v>3074.5417552792405</v>
      </c>
      <c r="H52" s="68">
        <f>Input!F$23</f>
        <v>0</v>
      </c>
      <c r="I52" s="68">
        <f>Input!G$23</f>
        <v>3767.7097627819439</v>
      </c>
      <c r="J52" s="68">
        <f>Input!H$23</f>
        <v>0</v>
      </c>
      <c r="K52" s="68">
        <f>Input!I$23</f>
        <v>3947.5580530140414</v>
      </c>
      <c r="L52" s="68">
        <f>Input!J$23</f>
        <v>0</v>
      </c>
      <c r="M52" s="68">
        <f>Input!K$23</f>
        <v>4357.6942041022839</v>
      </c>
      <c r="N52" s="68">
        <f>Input!L$23</f>
        <v>0</v>
      </c>
    </row>
    <row r="53" spans="1:15" ht="11" thickBot="1">
      <c r="A53" s="108" t="s">
        <v>259</v>
      </c>
      <c r="C53" s="13">
        <f>C50+C52</f>
        <v>9172.1892330228548</v>
      </c>
      <c r="E53" s="13">
        <f t="shared" ref="E53:N53" si="15">E50+E52</f>
        <v>1186.2865640000016</v>
      </c>
      <c r="F53" s="13">
        <f t="shared" si="15"/>
        <v>-347.61770999999771</v>
      </c>
      <c r="G53" s="13">
        <f t="shared" si="15"/>
        <v>2642.4604152792417</v>
      </c>
      <c r="H53" s="13">
        <f t="shared" si="15"/>
        <v>-580.68215955706728</v>
      </c>
      <c r="I53" s="13">
        <f t="shared" si="15"/>
        <v>3033.6272009061231</v>
      </c>
      <c r="J53" s="13">
        <f t="shared" si="15"/>
        <v>58.183369285530716</v>
      </c>
      <c r="K53" s="13">
        <f t="shared" si="15"/>
        <v>4504.7058528962643</v>
      </c>
      <c r="L53" s="13">
        <f t="shared" si="15"/>
        <v>897.26491572976829</v>
      </c>
      <c r="M53" s="13">
        <f t="shared" si="15"/>
        <v>5159.5812233218467</v>
      </c>
      <c r="N53" s="13">
        <f t="shared" si="15"/>
        <v>865.27088910641032</v>
      </c>
    </row>
    <row r="54" spans="1:15" ht="5.25" customHeight="1" thickBot="1">
      <c r="A54" s="5"/>
      <c r="C54" s="68"/>
      <c r="E54" s="112"/>
      <c r="F54" s="112"/>
      <c r="G54" s="112"/>
      <c r="H54" s="112"/>
      <c r="I54" s="112"/>
      <c r="J54" s="112"/>
      <c r="K54" s="112"/>
      <c r="L54" s="112"/>
      <c r="M54" s="112"/>
      <c r="N54" s="112"/>
    </row>
    <row r="55" spans="1:15" ht="11" thickBot="1">
      <c r="A55" s="108" t="s">
        <v>260</v>
      </c>
      <c r="C55" s="13">
        <f>C50+C47</f>
        <v>1304.5018783999985</v>
      </c>
      <c r="E55" s="13">
        <f t="shared" ref="E55:N55" si="16">E50+E47</f>
        <v>1120.6000000000004</v>
      </c>
      <c r="F55" s="13">
        <f t="shared" si="16"/>
        <v>1138.4100600000022</v>
      </c>
      <c r="G55" s="13">
        <f t="shared" si="16"/>
        <v>1312.2288200000012</v>
      </c>
      <c r="H55" s="13">
        <f t="shared" si="16"/>
        <v>1232.0258404429328</v>
      </c>
      <c r="I55" s="13">
        <f t="shared" si="16"/>
        <v>1290.1816781241791</v>
      </c>
      <c r="J55" s="13">
        <f t="shared" si="16"/>
        <v>2149.5857792855304</v>
      </c>
      <c r="K55" s="13">
        <f t="shared" si="16"/>
        <v>2904.7228283282225</v>
      </c>
      <c r="L55" s="13">
        <f t="shared" si="16"/>
        <v>3320.4367531497574</v>
      </c>
      <c r="M55" s="13">
        <f t="shared" si="16"/>
        <v>3457.5629082247692</v>
      </c>
      <c r="N55" s="13">
        <f t="shared" si="16"/>
        <v>3595.7650834584829</v>
      </c>
    </row>
    <row r="56" spans="1:15" ht="11" thickBot="1"/>
    <row r="57" spans="1:15" ht="11" thickBot="1">
      <c r="A57" s="104" t="s">
        <v>261</v>
      </c>
      <c r="B57" s="91"/>
      <c r="C57" s="91" t="s">
        <v>29</v>
      </c>
      <c r="D57" s="91"/>
      <c r="E57" s="91" t="s">
        <v>19</v>
      </c>
      <c r="F57" s="91" t="s">
        <v>20</v>
      </c>
      <c r="G57" s="91" t="s">
        <v>21</v>
      </c>
      <c r="H57" s="91" t="s">
        <v>22</v>
      </c>
      <c r="I57" s="91" t="s">
        <v>23</v>
      </c>
      <c r="J57" s="91" t="s">
        <v>24</v>
      </c>
      <c r="K57" s="91" t="s">
        <v>25</v>
      </c>
      <c r="L57" s="91" t="s">
        <v>26</v>
      </c>
      <c r="M57" s="91" t="s">
        <v>27</v>
      </c>
      <c r="N57" s="91" t="s">
        <v>28</v>
      </c>
    </row>
    <row r="58" spans="1:15" ht="11" thickBot="1">
      <c r="A58" s="106" t="s">
        <v>262</v>
      </c>
      <c r="C58" s="4"/>
      <c r="E58" s="4"/>
      <c r="F58" s="4"/>
      <c r="G58" s="4"/>
      <c r="H58" s="4"/>
      <c r="I58" s="4"/>
      <c r="J58" s="4"/>
      <c r="K58" s="4"/>
      <c r="L58" s="4"/>
      <c r="M58" s="4"/>
      <c r="N58" s="4"/>
      <c r="O58" s="105"/>
    </row>
    <row r="59" spans="1:15" ht="11" thickBot="1">
      <c r="A59" s="5" t="s">
        <v>263</v>
      </c>
      <c r="C59" s="68">
        <f>C$55</f>
        <v>1304.5018783999985</v>
      </c>
      <c r="E59" s="68">
        <f t="shared" ref="E59:N59" si="17">E$55</f>
        <v>1120.6000000000004</v>
      </c>
      <c r="F59" s="68">
        <f t="shared" si="17"/>
        <v>1138.4100600000022</v>
      </c>
      <c r="G59" s="68">
        <f t="shared" si="17"/>
        <v>1312.2288200000012</v>
      </c>
      <c r="H59" s="68">
        <f t="shared" si="17"/>
        <v>1232.0258404429328</v>
      </c>
      <c r="I59" s="68">
        <f t="shared" si="17"/>
        <v>1290.1816781241791</v>
      </c>
      <c r="J59" s="68">
        <f t="shared" si="17"/>
        <v>2149.5857792855304</v>
      </c>
      <c r="K59" s="68">
        <f t="shared" si="17"/>
        <v>2904.7228283282225</v>
      </c>
      <c r="L59" s="68">
        <f t="shared" si="17"/>
        <v>3320.4367531497574</v>
      </c>
      <c r="M59" s="68">
        <f t="shared" si="17"/>
        <v>3457.5629082247692</v>
      </c>
      <c r="N59" s="68">
        <f t="shared" si="17"/>
        <v>3595.7650834584829</v>
      </c>
    </row>
    <row r="60" spans="1:15" ht="11" thickBot="1">
      <c r="A60" s="5" t="s">
        <v>264</v>
      </c>
      <c r="C60" s="68"/>
      <c r="E60" s="68"/>
      <c r="F60" s="68"/>
      <c r="G60" s="68"/>
      <c r="H60" s="68"/>
      <c r="I60" s="68"/>
      <c r="J60" s="68"/>
      <c r="K60" s="68"/>
      <c r="L60" s="68"/>
      <c r="M60" s="68"/>
      <c r="N60" s="68"/>
    </row>
    <row r="61" spans="1:15" ht="11" thickBot="1">
      <c r="A61" s="108" t="s">
        <v>265</v>
      </c>
      <c r="C61" s="13">
        <f>SUM(C59:C60)</f>
        <v>1304.5018783999985</v>
      </c>
      <c r="E61" s="13">
        <f t="shared" ref="E61:N61" si="18">SUM(E59:E60)</f>
        <v>1120.6000000000004</v>
      </c>
      <c r="F61" s="13">
        <f t="shared" si="18"/>
        <v>1138.4100600000022</v>
      </c>
      <c r="G61" s="13">
        <f t="shared" si="18"/>
        <v>1312.2288200000012</v>
      </c>
      <c r="H61" s="13">
        <f t="shared" si="18"/>
        <v>1232.0258404429328</v>
      </c>
      <c r="I61" s="13">
        <f t="shared" si="18"/>
        <v>1290.1816781241791</v>
      </c>
      <c r="J61" s="13">
        <f t="shared" si="18"/>
        <v>2149.5857792855304</v>
      </c>
      <c r="K61" s="13">
        <f t="shared" si="18"/>
        <v>2904.7228283282225</v>
      </c>
      <c r="L61" s="13">
        <f t="shared" si="18"/>
        <v>3320.4367531497574</v>
      </c>
      <c r="M61" s="13">
        <f t="shared" si="18"/>
        <v>3457.5629082247692</v>
      </c>
      <c r="N61" s="13">
        <f t="shared" si="18"/>
        <v>3595.7650834584829</v>
      </c>
    </row>
    <row r="62" spans="1:15" ht="5.25" customHeight="1" thickBot="1">
      <c r="A62" s="5"/>
      <c r="C62" s="68"/>
      <c r="E62" s="112"/>
      <c r="F62" s="112"/>
      <c r="G62" s="112"/>
      <c r="H62" s="112"/>
      <c r="I62" s="112"/>
      <c r="J62" s="112"/>
      <c r="K62" s="112"/>
      <c r="L62" s="112"/>
      <c r="M62" s="112"/>
      <c r="N62" s="112"/>
    </row>
    <row r="63" spans="1:15" ht="11" thickBot="1">
      <c r="A63" s="106" t="s">
        <v>266</v>
      </c>
      <c r="C63" s="4"/>
      <c r="E63" s="4"/>
      <c r="F63" s="4"/>
      <c r="G63" s="4"/>
      <c r="H63" s="4"/>
      <c r="I63" s="4"/>
      <c r="J63" s="4"/>
      <c r="K63" s="4"/>
      <c r="L63" s="4"/>
      <c r="M63" s="4"/>
      <c r="N63" s="4"/>
      <c r="O63" s="105"/>
    </row>
    <row r="64" spans="1:15" ht="11" thickBot="1">
      <c r="A64" s="5" t="s">
        <v>264</v>
      </c>
      <c r="C64" s="68"/>
      <c r="E64" s="68"/>
      <c r="F64" s="68"/>
      <c r="G64" s="68"/>
      <c r="H64" s="68">
        <f t="shared" ref="H64" si="19">-H32</f>
        <v>-519.47147019499243</v>
      </c>
      <c r="I64" s="68"/>
      <c r="J64" s="68"/>
      <c r="K64" s="68"/>
      <c r="L64" s="68"/>
      <c r="M64" s="68"/>
      <c r="N64" s="68"/>
    </row>
    <row r="65" spans="1:15" ht="11" thickBot="1">
      <c r="A65" s="5" t="s">
        <v>170</v>
      </c>
      <c r="C65" s="68">
        <f>-SUM(C$28:C$30)</f>
        <v>-1181.78035</v>
      </c>
      <c r="E65" s="68">
        <f t="shared" ref="E65:N65" si="20">-SUM(E$28:E$30)</f>
        <v>-9352.4</v>
      </c>
      <c r="F65" s="68">
        <f t="shared" si="20"/>
        <v>-9015.6660000000011</v>
      </c>
      <c r="G65" s="68">
        <f t="shared" si="20"/>
        <v>-6898.982</v>
      </c>
      <c r="H65" s="68">
        <f t="shared" si="20"/>
        <v>-1928.0031595</v>
      </c>
      <c r="I65" s="68">
        <f t="shared" si="20"/>
        <v>-3240.5498785</v>
      </c>
      <c r="J65" s="68">
        <f t="shared" si="20"/>
        <v>-3949.1159650039699</v>
      </c>
      <c r="K65" s="68">
        <f t="shared" si="20"/>
        <v>-4510.4798640752269</v>
      </c>
      <c r="L65" s="68">
        <f t="shared" si="20"/>
        <v>-4755.8938773060872</v>
      </c>
      <c r="M65" s="68">
        <f t="shared" si="20"/>
        <v>-4828.6298941681198</v>
      </c>
      <c r="N65" s="68">
        <f t="shared" si="20"/>
        <v>-4976.8815493343845</v>
      </c>
    </row>
    <row r="66" spans="1:15" ht="11" thickBot="1">
      <c r="A66" s="108" t="s">
        <v>267</v>
      </c>
      <c r="C66" s="13">
        <f>SUM(C64:C65)</f>
        <v>-1181.78035</v>
      </c>
      <c r="E66" s="13">
        <f t="shared" ref="E66:N66" si="21">SUM(E64:E65)</f>
        <v>-9352.4</v>
      </c>
      <c r="F66" s="13">
        <f t="shared" si="21"/>
        <v>-9015.6660000000011</v>
      </c>
      <c r="G66" s="13">
        <f t="shared" si="21"/>
        <v>-6898.982</v>
      </c>
      <c r="H66" s="13">
        <f t="shared" si="21"/>
        <v>-2447.4746296949925</v>
      </c>
      <c r="I66" s="13">
        <f t="shared" si="21"/>
        <v>-3240.5498785</v>
      </c>
      <c r="J66" s="13">
        <f t="shared" si="21"/>
        <v>-3949.1159650039699</v>
      </c>
      <c r="K66" s="13">
        <f t="shared" si="21"/>
        <v>-4510.4798640752269</v>
      </c>
      <c r="L66" s="13">
        <f t="shared" si="21"/>
        <v>-4755.8938773060872</v>
      </c>
      <c r="M66" s="13">
        <f t="shared" si="21"/>
        <v>-4828.6298941681198</v>
      </c>
      <c r="N66" s="13">
        <f t="shared" si="21"/>
        <v>-4976.8815493343845</v>
      </c>
    </row>
    <row r="67" spans="1:15" ht="5.25" customHeight="1" thickBot="1">
      <c r="A67" s="5"/>
      <c r="C67" s="68"/>
      <c r="E67" s="112"/>
      <c r="F67" s="112"/>
      <c r="G67" s="112"/>
      <c r="H67" s="112"/>
      <c r="I67" s="112"/>
      <c r="J67" s="112"/>
      <c r="K67" s="112"/>
      <c r="L67" s="112"/>
      <c r="M67" s="112"/>
      <c r="N67" s="112"/>
    </row>
    <row r="68" spans="1:15" ht="11" thickBot="1">
      <c r="A68" s="106" t="s">
        <v>268</v>
      </c>
      <c r="C68" s="4"/>
      <c r="E68" s="4"/>
      <c r="F68" s="4"/>
      <c r="G68" s="4"/>
      <c r="H68" s="4"/>
      <c r="I68" s="4"/>
      <c r="J68" s="4"/>
      <c r="K68" s="4"/>
      <c r="L68" s="4"/>
      <c r="M68" s="4"/>
      <c r="N68" s="4"/>
      <c r="O68" s="105"/>
    </row>
    <row r="69" spans="1:15" ht="11" thickBot="1">
      <c r="A69" s="5" t="s">
        <v>269</v>
      </c>
      <c r="C69" s="68">
        <f>C$22-C$70-C31</f>
        <v>-122.7215283999987</v>
      </c>
      <c r="E69" s="68">
        <f>E$22-E$70-E31</f>
        <v>8231.7999999999993</v>
      </c>
      <c r="F69" s="68">
        <f t="shared" ref="F69:N69" si="22">F$22-F$70-F31</f>
        <v>7877.2560000000003</v>
      </c>
      <c r="G69" s="68">
        <f t="shared" si="22"/>
        <v>5586.7532499999998</v>
      </c>
      <c r="H69" s="68">
        <f t="shared" si="22"/>
        <v>1215.4487892520592</v>
      </c>
      <c r="I69" s="68">
        <f t="shared" si="22"/>
        <v>1950.3682003758211</v>
      </c>
      <c r="J69" s="68">
        <f t="shared" si="22"/>
        <v>1799.53018571844</v>
      </c>
      <c r="K69" s="68">
        <f t="shared" si="22"/>
        <v>1605.7570357470031</v>
      </c>
      <c r="L69" s="68">
        <f t="shared" si="22"/>
        <v>1435.4571241563297</v>
      </c>
      <c r="M69" s="68">
        <f t="shared" si="22"/>
        <v>1371.0669859433506</v>
      </c>
      <c r="N69" s="68">
        <f t="shared" si="22"/>
        <v>1381.1164658759003</v>
      </c>
    </row>
    <row r="70" spans="1:15" ht="11" thickBot="1">
      <c r="A70" s="5" t="s">
        <v>270</v>
      </c>
      <c r="C70" s="68"/>
      <c r="E70" s="68"/>
      <c r="F70" s="68"/>
      <c r="G70" s="68"/>
      <c r="H70" s="68"/>
      <c r="I70" s="68"/>
      <c r="J70" s="68"/>
      <c r="K70" s="68"/>
      <c r="L70" s="68"/>
      <c r="M70" s="68"/>
      <c r="N70" s="68"/>
    </row>
    <row r="71" spans="1:15" ht="11" thickBot="1">
      <c r="A71" s="108" t="s">
        <v>271</v>
      </c>
      <c r="C71" s="13">
        <f>SUM(C69:C70)</f>
        <v>-122.7215283999987</v>
      </c>
      <c r="E71" s="13">
        <f t="shared" ref="E71:N71" si="23">SUM(E69:E70)</f>
        <v>8231.7999999999993</v>
      </c>
      <c r="F71" s="13">
        <f t="shared" si="23"/>
        <v>7877.2560000000003</v>
      </c>
      <c r="G71" s="13">
        <f t="shared" si="23"/>
        <v>5586.7532499999998</v>
      </c>
      <c r="H71" s="13">
        <f t="shared" si="23"/>
        <v>1215.4487892520592</v>
      </c>
      <c r="I71" s="13">
        <f t="shared" si="23"/>
        <v>1950.3682003758211</v>
      </c>
      <c r="J71" s="13">
        <f t="shared" si="23"/>
        <v>1799.53018571844</v>
      </c>
      <c r="K71" s="13">
        <f t="shared" si="23"/>
        <v>1605.7570357470031</v>
      </c>
      <c r="L71" s="13">
        <f t="shared" si="23"/>
        <v>1435.4571241563297</v>
      </c>
      <c r="M71" s="13">
        <f t="shared" si="23"/>
        <v>1371.0669859433506</v>
      </c>
      <c r="N71" s="13">
        <f t="shared" si="23"/>
        <v>1381.1164658759003</v>
      </c>
    </row>
    <row r="72" spans="1:15" ht="5.25" customHeight="1" thickBot="1">
      <c r="A72" s="5"/>
      <c r="C72" s="112"/>
      <c r="E72" s="112"/>
      <c r="F72" s="112"/>
      <c r="G72" s="112"/>
      <c r="H72" s="112"/>
      <c r="I72" s="112"/>
      <c r="J72" s="112"/>
      <c r="K72" s="112"/>
      <c r="L72" s="112"/>
      <c r="M72" s="112"/>
      <c r="N72" s="112"/>
    </row>
    <row r="73" spans="1:15" ht="11" thickBot="1">
      <c r="A73" s="108" t="s">
        <v>272</v>
      </c>
      <c r="C73" s="13">
        <f>C61+C66+C71</f>
        <v>-1.7053025658242404E-13</v>
      </c>
      <c r="E73" s="13">
        <f t="shared" ref="E73:N73" si="24">E61+E66+E71</f>
        <v>0</v>
      </c>
      <c r="F73" s="13">
        <f t="shared" si="24"/>
        <v>6.0000001212756615E-5</v>
      </c>
      <c r="G73" s="13">
        <f t="shared" si="24"/>
        <v>7.0000000960135367E-5</v>
      </c>
      <c r="H73" s="13">
        <f t="shared" si="24"/>
        <v>0</v>
      </c>
      <c r="I73" s="13">
        <f t="shared" si="24"/>
        <v>0</v>
      </c>
      <c r="J73" s="13">
        <f t="shared" si="24"/>
        <v>0</v>
      </c>
      <c r="K73" s="13">
        <f t="shared" si="24"/>
        <v>0</v>
      </c>
      <c r="L73" s="13">
        <f t="shared" si="24"/>
        <v>0</v>
      </c>
      <c r="M73" s="13">
        <f t="shared" si="24"/>
        <v>0</v>
      </c>
      <c r="N73" s="13">
        <f t="shared" si="24"/>
        <v>0</v>
      </c>
    </row>
    <row r="74" spans="1:15" ht="5.25" customHeight="1" thickBot="1">
      <c r="A74" s="5"/>
      <c r="C74" s="112"/>
      <c r="E74" s="112"/>
      <c r="F74" s="112"/>
      <c r="G74" s="112"/>
      <c r="H74" s="112"/>
      <c r="I74" s="112"/>
      <c r="J74" s="112"/>
      <c r="K74" s="112"/>
      <c r="L74" s="112"/>
      <c r="M74" s="112"/>
      <c r="N74" s="112"/>
    </row>
    <row r="75" spans="1:15" ht="11" thickBot="1">
      <c r="A75" s="108" t="s">
        <v>273</v>
      </c>
      <c r="C75" s="13">
        <f>C76-C73</f>
        <v>1.7053025658242404E-13</v>
      </c>
      <c r="E75" s="13">
        <f>C76</f>
        <v>0</v>
      </c>
      <c r="F75" s="13">
        <f t="shared" ref="F75:N75" si="25">E76</f>
        <v>0</v>
      </c>
      <c r="G75" s="13">
        <f t="shared" si="25"/>
        <v>6.0000001212756615E-5</v>
      </c>
      <c r="H75" s="13">
        <f t="shared" si="25"/>
        <v>1.3000000217289198E-4</v>
      </c>
      <c r="I75" s="13">
        <f t="shared" si="25"/>
        <v>1.3000000217289198E-4</v>
      </c>
      <c r="J75" s="13">
        <f t="shared" si="25"/>
        <v>1.3000000217289198E-4</v>
      </c>
      <c r="K75" s="13">
        <f t="shared" si="25"/>
        <v>1.3000000217289198E-4</v>
      </c>
      <c r="L75" s="13">
        <f t="shared" si="25"/>
        <v>1.3000000217289198E-4</v>
      </c>
      <c r="M75" s="13">
        <f t="shared" si="25"/>
        <v>1.3000000217289198E-4</v>
      </c>
      <c r="N75" s="13">
        <f t="shared" si="25"/>
        <v>1.3000000217289198E-4</v>
      </c>
    </row>
    <row r="76" spans="1:15" ht="11" thickBot="1">
      <c r="A76" s="108" t="s">
        <v>274</v>
      </c>
      <c r="C76" s="13">
        <f>C80</f>
        <v>0</v>
      </c>
      <c r="E76" s="13">
        <f t="shared" ref="E76:N76" si="26">E73+E75</f>
        <v>0</v>
      </c>
      <c r="F76" s="13">
        <f t="shared" si="26"/>
        <v>6.0000001212756615E-5</v>
      </c>
      <c r="G76" s="13">
        <f t="shared" si="26"/>
        <v>1.3000000217289198E-4</v>
      </c>
      <c r="H76" s="13">
        <f t="shared" si="26"/>
        <v>1.3000000217289198E-4</v>
      </c>
      <c r="I76" s="13">
        <f t="shared" si="26"/>
        <v>1.3000000217289198E-4</v>
      </c>
      <c r="J76" s="13">
        <f t="shared" si="26"/>
        <v>1.3000000217289198E-4</v>
      </c>
      <c r="K76" s="13">
        <f t="shared" si="26"/>
        <v>1.3000000217289198E-4</v>
      </c>
      <c r="L76" s="13">
        <f t="shared" si="26"/>
        <v>1.3000000217289198E-4</v>
      </c>
      <c r="M76" s="13">
        <f t="shared" si="26"/>
        <v>1.3000000217289198E-4</v>
      </c>
      <c r="N76" s="13">
        <f t="shared" si="26"/>
        <v>1.3000000217289198E-4</v>
      </c>
    </row>
    <row r="77" spans="1:15" ht="11" thickBot="1"/>
    <row r="78" spans="1:15" ht="11" thickBot="1">
      <c r="A78" s="104" t="s">
        <v>275</v>
      </c>
      <c r="B78" s="91"/>
      <c r="C78" s="91" t="s">
        <v>29</v>
      </c>
      <c r="D78" s="91"/>
      <c r="E78" s="91" t="s">
        <v>19</v>
      </c>
      <c r="F78" s="91" t="s">
        <v>20</v>
      </c>
      <c r="G78" s="91" t="s">
        <v>21</v>
      </c>
      <c r="H78" s="91" t="s">
        <v>22</v>
      </c>
      <c r="I78" s="91" t="s">
        <v>23</v>
      </c>
      <c r="J78" s="91" t="s">
        <v>24</v>
      </c>
      <c r="K78" s="91" t="s">
        <v>25</v>
      </c>
      <c r="L78" s="91" t="s">
        <v>26</v>
      </c>
      <c r="M78" s="91" t="s">
        <v>27</v>
      </c>
      <c r="N78" s="91" t="s">
        <v>28</v>
      </c>
      <c r="O78" s="105"/>
    </row>
    <row r="79" spans="1:15" ht="11" thickBot="1">
      <c r="A79" s="106" t="s">
        <v>276</v>
      </c>
      <c r="C79" s="4"/>
      <c r="E79" s="4"/>
      <c r="F79" s="4"/>
      <c r="G79" s="4"/>
      <c r="H79" s="4"/>
      <c r="I79" s="4"/>
      <c r="J79" s="4"/>
      <c r="K79" s="4"/>
      <c r="L79" s="4"/>
      <c r="M79" s="4"/>
      <c r="N79" s="4"/>
      <c r="O79" s="105"/>
    </row>
    <row r="80" spans="1:15" ht="11" thickBot="1">
      <c r="A80" s="5" t="s">
        <v>277</v>
      </c>
      <c r="C80" s="68">
        <f>Input!$C$9</f>
        <v>0</v>
      </c>
      <c r="E80" s="68">
        <f t="shared" ref="E80:N80" si="27">E76</f>
        <v>0</v>
      </c>
      <c r="F80" s="68">
        <f t="shared" si="27"/>
        <v>6.0000001212756615E-5</v>
      </c>
      <c r="G80" s="68">
        <f t="shared" si="27"/>
        <v>1.3000000217289198E-4</v>
      </c>
      <c r="H80" s="68">
        <f t="shared" si="27"/>
        <v>1.3000000217289198E-4</v>
      </c>
      <c r="I80" s="68">
        <f t="shared" si="27"/>
        <v>1.3000000217289198E-4</v>
      </c>
      <c r="J80" s="68">
        <f t="shared" si="27"/>
        <v>1.3000000217289198E-4</v>
      </c>
      <c r="K80" s="68">
        <f t="shared" si="27"/>
        <v>1.3000000217289198E-4</v>
      </c>
      <c r="L80" s="68">
        <f t="shared" si="27"/>
        <v>1.3000000217289198E-4</v>
      </c>
      <c r="M80" s="68">
        <f t="shared" si="27"/>
        <v>1.3000000217289198E-4</v>
      </c>
      <c r="N80" s="68">
        <f t="shared" si="27"/>
        <v>1.3000000217289198E-4</v>
      </c>
    </row>
    <row r="81" spans="1:15" ht="11" thickBot="1">
      <c r="A81" s="5" t="s">
        <v>278</v>
      </c>
      <c r="C81" s="68"/>
      <c r="E81" s="68"/>
      <c r="F81" s="68"/>
      <c r="G81" s="68"/>
      <c r="H81" s="68"/>
      <c r="I81" s="68"/>
      <c r="J81" s="68"/>
      <c r="K81" s="68"/>
      <c r="L81" s="68"/>
      <c r="M81" s="68"/>
      <c r="N81" s="68"/>
    </row>
    <row r="82" spans="1:15" ht="11" thickBot="1">
      <c r="A82" s="5" t="s">
        <v>279</v>
      </c>
      <c r="C82" s="68">
        <f>Input!$C$7-Input!$C$8</f>
        <v>49131.663</v>
      </c>
      <c r="E82" s="68">
        <f>$C$82-E$47+SUM(E$28:E$30)+E$52</f>
        <v>58549.749564000005</v>
      </c>
      <c r="F82" s="68">
        <f t="shared" ref="F82:N82" si="28">E$82-F$47+SUM(F$28:F$30)+F$52</f>
        <v>66079.387794000009</v>
      </c>
      <c r="G82" s="68">
        <f t="shared" si="28"/>
        <v>74308.60138927924</v>
      </c>
      <c r="H82" s="68">
        <f t="shared" si="28"/>
        <v>74423.896548779245</v>
      </c>
      <c r="I82" s="68">
        <f t="shared" si="28"/>
        <v>79407.891950061181</v>
      </c>
      <c r="J82" s="68">
        <f t="shared" si="28"/>
        <v>81265.605505065148</v>
      </c>
      <c r="K82" s="68">
        <f t="shared" si="28"/>
        <v>87376.068393708425</v>
      </c>
      <c r="L82" s="68">
        <f t="shared" si="28"/>
        <v>89708.79043359452</v>
      </c>
      <c r="M82" s="68">
        <f t="shared" si="28"/>
        <v>96239.438642859721</v>
      </c>
      <c r="N82" s="68">
        <f t="shared" si="28"/>
        <v>98485.825997842039</v>
      </c>
    </row>
    <row r="83" spans="1:15" ht="11" thickBot="1">
      <c r="A83" s="5" t="s">
        <v>280</v>
      </c>
      <c r="C83" s="68"/>
      <c r="E83" s="68">
        <f>C83-E64</f>
        <v>0</v>
      </c>
      <c r="F83" s="68">
        <f>E83-F64</f>
        <v>0</v>
      </c>
      <c r="G83" s="68">
        <f t="shared" ref="G83:N83" si="29">F83-G64</f>
        <v>0</v>
      </c>
      <c r="H83" s="68">
        <f t="shared" si="29"/>
        <v>519.47147019499243</v>
      </c>
      <c r="I83" s="68">
        <f t="shared" si="29"/>
        <v>519.47147019499243</v>
      </c>
      <c r="J83" s="68">
        <f t="shared" si="29"/>
        <v>519.47147019499243</v>
      </c>
      <c r="K83" s="68">
        <f t="shared" si="29"/>
        <v>519.47147019499243</v>
      </c>
      <c r="L83" s="68">
        <f t="shared" si="29"/>
        <v>519.47147019499243</v>
      </c>
      <c r="M83" s="68">
        <f t="shared" si="29"/>
        <v>519.47147019499243</v>
      </c>
      <c r="N83" s="68">
        <f t="shared" si="29"/>
        <v>519.47147019499243</v>
      </c>
    </row>
    <row r="84" spans="1:15" ht="11" thickBot="1">
      <c r="A84" s="108" t="s">
        <v>281</v>
      </c>
      <c r="C84" s="13">
        <f>SUM(C80:C83)</f>
        <v>49131.663</v>
      </c>
      <c r="E84" s="13">
        <f t="shared" ref="E84:N84" si="30">SUM(E80:E83)</f>
        <v>58549.749564000005</v>
      </c>
      <c r="F84" s="13">
        <f t="shared" si="30"/>
        <v>66079.387854000015</v>
      </c>
      <c r="G84" s="13">
        <f t="shared" si="30"/>
        <v>74308.60151927924</v>
      </c>
      <c r="H84" s="13">
        <f t="shared" si="30"/>
        <v>74943.36814897423</v>
      </c>
      <c r="I84" s="13">
        <f t="shared" si="30"/>
        <v>79927.363550256181</v>
      </c>
      <c r="J84" s="13">
        <f t="shared" si="30"/>
        <v>81785.077105260134</v>
      </c>
      <c r="K84" s="13">
        <f t="shared" si="30"/>
        <v>87895.539993903425</v>
      </c>
      <c r="L84" s="13">
        <f t="shared" si="30"/>
        <v>90228.262033789506</v>
      </c>
      <c r="M84" s="13">
        <f t="shared" si="30"/>
        <v>96758.910243054706</v>
      </c>
      <c r="N84" s="13">
        <f t="shared" si="30"/>
        <v>99005.297598037025</v>
      </c>
    </row>
    <row r="85" spans="1:15" ht="5.25" customHeight="1" thickBot="1">
      <c r="A85" s="5"/>
      <c r="C85" s="112"/>
      <c r="E85" s="112"/>
      <c r="F85" s="112"/>
      <c r="G85" s="112"/>
      <c r="H85" s="112"/>
      <c r="I85" s="112"/>
      <c r="J85" s="112"/>
      <c r="K85" s="112"/>
      <c r="L85" s="112"/>
      <c r="M85" s="112"/>
      <c r="N85" s="112"/>
    </row>
    <row r="86" spans="1:15" ht="11" thickBot="1">
      <c r="A86" s="106" t="s">
        <v>282</v>
      </c>
      <c r="C86" s="4"/>
      <c r="E86" s="4"/>
      <c r="F86" s="4"/>
      <c r="G86" s="4"/>
      <c r="H86" s="4"/>
      <c r="I86" s="4"/>
      <c r="J86" s="4"/>
      <c r="K86" s="4"/>
      <c r="L86" s="4"/>
      <c r="M86" s="4"/>
      <c r="N86" s="4"/>
      <c r="O86" s="105"/>
    </row>
    <row r="87" spans="1:15" ht="11" thickBot="1">
      <c r="A87" s="5" t="s">
        <v>283</v>
      </c>
      <c r="C87" s="68"/>
      <c r="E87" s="68"/>
      <c r="F87" s="68"/>
      <c r="G87" s="68"/>
      <c r="H87" s="68"/>
      <c r="I87" s="68"/>
      <c r="J87" s="68"/>
      <c r="K87" s="68"/>
      <c r="L87" s="68"/>
      <c r="M87" s="68"/>
      <c r="N87" s="68"/>
    </row>
    <row r="88" spans="1:15" ht="11" thickBot="1">
      <c r="A88" s="5" t="s">
        <v>284</v>
      </c>
      <c r="C88" s="68"/>
      <c r="E88" s="68"/>
      <c r="F88" s="68"/>
      <c r="G88" s="68"/>
      <c r="H88" s="68"/>
      <c r="I88" s="68"/>
      <c r="J88" s="68"/>
      <c r="K88" s="68"/>
      <c r="L88" s="68"/>
      <c r="M88" s="68"/>
      <c r="N88" s="68"/>
    </row>
    <row r="89" spans="1:15" ht="11" thickBot="1">
      <c r="A89" s="5" t="s">
        <v>285</v>
      </c>
      <c r="C89" s="68">
        <f>Input!$C$10-C$87</f>
        <v>2645.04</v>
      </c>
      <c r="E89" s="68">
        <f>$C$89+E69+E70</f>
        <v>10876.84</v>
      </c>
      <c r="F89" s="68">
        <f t="shared" ref="F89:N89" si="31">E$89+F69+F70</f>
        <v>18754.096000000001</v>
      </c>
      <c r="G89" s="68">
        <f t="shared" si="31"/>
        <v>24340.849249999999</v>
      </c>
      <c r="H89" s="68">
        <f t="shared" si="31"/>
        <v>25556.298039252059</v>
      </c>
      <c r="I89" s="68">
        <f t="shared" si="31"/>
        <v>27506.666239627881</v>
      </c>
      <c r="J89" s="68">
        <f t="shared" si="31"/>
        <v>29306.196425346319</v>
      </c>
      <c r="K89" s="68">
        <f t="shared" si="31"/>
        <v>30911.953461093322</v>
      </c>
      <c r="L89" s="68">
        <f t="shared" si="31"/>
        <v>32347.41058524965</v>
      </c>
      <c r="M89" s="68">
        <f t="shared" si="31"/>
        <v>33718.477571192998</v>
      </c>
      <c r="N89" s="68">
        <f t="shared" si="31"/>
        <v>35099.594037068899</v>
      </c>
    </row>
    <row r="90" spans="1:15" ht="11" thickBot="1">
      <c r="A90" s="5" t="s">
        <v>286</v>
      </c>
      <c r="C90" s="68"/>
      <c r="E90" s="68"/>
      <c r="F90" s="68"/>
      <c r="G90" s="68"/>
      <c r="H90" s="68"/>
      <c r="I90" s="68"/>
      <c r="J90" s="68"/>
      <c r="K90" s="68"/>
      <c r="L90" s="68"/>
      <c r="M90" s="68"/>
      <c r="N90" s="68"/>
    </row>
    <row r="91" spans="1:15" ht="11" thickBot="1">
      <c r="A91" s="108" t="s">
        <v>287</v>
      </c>
      <c r="C91" s="13">
        <f>SUM(C87:C90)</f>
        <v>2645.04</v>
      </c>
      <c r="E91" s="13">
        <f t="shared" ref="E91:N91" si="32">SUM(E87:E90)</f>
        <v>10876.84</v>
      </c>
      <c r="F91" s="13">
        <f t="shared" si="32"/>
        <v>18754.096000000001</v>
      </c>
      <c r="G91" s="13">
        <f t="shared" si="32"/>
        <v>24340.849249999999</v>
      </c>
      <c r="H91" s="13">
        <f t="shared" si="32"/>
        <v>25556.298039252059</v>
      </c>
      <c r="I91" s="13">
        <f t="shared" si="32"/>
        <v>27506.666239627881</v>
      </c>
      <c r="J91" s="13">
        <f t="shared" si="32"/>
        <v>29306.196425346319</v>
      </c>
      <c r="K91" s="13">
        <f t="shared" si="32"/>
        <v>30911.953461093322</v>
      </c>
      <c r="L91" s="13">
        <f t="shared" si="32"/>
        <v>32347.41058524965</v>
      </c>
      <c r="M91" s="13">
        <f t="shared" si="32"/>
        <v>33718.477571192998</v>
      </c>
      <c r="N91" s="13">
        <f t="shared" si="32"/>
        <v>35099.594037068899</v>
      </c>
    </row>
    <row r="92" spans="1:15" ht="5.25" customHeight="1" thickBot="1">
      <c r="A92" s="5"/>
      <c r="C92" s="68"/>
      <c r="E92" s="68"/>
      <c r="F92" s="112"/>
      <c r="G92" s="112"/>
      <c r="H92" s="112"/>
      <c r="I92" s="112"/>
      <c r="J92" s="112"/>
      <c r="K92" s="112"/>
      <c r="L92" s="112"/>
      <c r="M92" s="112"/>
      <c r="N92" s="112"/>
    </row>
    <row r="93" spans="1:15" ht="11" thickBot="1">
      <c r="A93" s="108" t="s">
        <v>288</v>
      </c>
      <c r="C93" s="13">
        <f>C84-C91</f>
        <v>46486.623</v>
      </c>
      <c r="E93" s="13">
        <f t="shared" ref="E93:N93" si="33">E84-E91</f>
        <v>47672.909564000001</v>
      </c>
      <c r="F93" s="13">
        <f t="shared" si="33"/>
        <v>47325.29185400001</v>
      </c>
      <c r="G93" s="13">
        <f t="shared" si="33"/>
        <v>49967.752269279241</v>
      </c>
      <c r="H93" s="13">
        <f t="shared" si="33"/>
        <v>49387.070109722175</v>
      </c>
      <c r="I93" s="13">
        <f t="shared" si="33"/>
        <v>52420.697310628297</v>
      </c>
      <c r="J93" s="13">
        <f t="shared" si="33"/>
        <v>52478.880679913811</v>
      </c>
      <c r="K93" s="13">
        <f t="shared" si="33"/>
        <v>56983.586532810106</v>
      </c>
      <c r="L93" s="13">
        <f t="shared" si="33"/>
        <v>57880.851448539855</v>
      </c>
      <c r="M93" s="13">
        <f t="shared" si="33"/>
        <v>63040.432671861709</v>
      </c>
      <c r="N93" s="13">
        <f t="shared" si="33"/>
        <v>63905.703560968126</v>
      </c>
    </row>
    <row r="94" spans="1:15" ht="5.25" customHeight="1" thickBot="1">
      <c r="A94" s="5"/>
      <c r="C94" s="112"/>
      <c r="E94" s="112"/>
      <c r="F94" s="112"/>
      <c r="G94" s="112"/>
      <c r="H94" s="112"/>
      <c r="I94" s="112"/>
      <c r="J94" s="112"/>
      <c r="K94" s="112"/>
      <c r="L94" s="112"/>
      <c r="M94" s="112"/>
      <c r="N94" s="112"/>
    </row>
    <row r="95" spans="1:15" ht="11" thickBot="1">
      <c r="A95" s="106" t="s">
        <v>289</v>
      </c>
      <c r="C95" s="4"/>
      <c r="E95" s="4"/>
      <c r="F95" s="4"/>
      <c r="G95" s="4"/>
      <c r="H95" s="4"/>
      <c r="I95" s="4"/>
      <c r="J95" s="4"/>
      <c r="K95" s="4"/>
      <c r="L95" s="4"/>
      <c r="M95" s="4"/>
      <c r="N95" s="4"/>
      <c r="O95" s="105"/>
    </row>
    <row r="96" spans="1:15" ht="11" thickBot="1">
      <c r="A96" s="5" t="s">
        <v>290</v>
      </c>
      <c r="C96" s="68">
        <f>Input!$C$12</f>
        <v>0</v>
      </c>
      <c r="E96" s="68">
        <f>$C$96+E$52</f>
        <v>1375.6865640000012</v>
      </c>
      <c r="F96" s="68">
        <f t="shared" ref="F96:N96" si="34">E$96+F$52</f>
        <v>1375.6865640000012</v>
      </c>
      <c r="G96" s="68">
        <f t="shared" si="34"/>
        <v>4450.228319279242</v>
      </c>
      <c r="H96" s="68">
        <f t="shared" si="34"/>
        <v>4450.228319279242</v>
      </c>
      <c r="I96" s="68">
        <f t="shared" si="34"/>
        <v>8217.9380820611859</v>
      </c>
      <c r="J96" s="68">
        <f t="shared" si="34"/>
        <v>8217.9380820611859</v>
      </c>
      <c r="K96" s="68">
        <f t="shared" si="34"/>
        <v>12165.496135075227</v>
      </c>
      <c r="L96" s="68">
        <f t="shared" si="34"/>
        <v>12165.496135075227</v>
      </c>
      <c r="M96" s="68">
        <f t="shared" si="34"/>
        <v>16523.190339177512</v>
      </c>
      <c r="N96" s="68">
        <f t="shared" si="34"/>
        <v>16523.190339177512</v>
      </c>
    </row>
    <row r="97" spans="1:14" ht="11" thickBot="1">
      <c r="A97" s="5" t="s">
        <v>291</v>
      </c>
      <c r="C97" s="68">
        <f>$C$93-$C$96</f>
        <v>46486.623</v>
      </c>
      <c r="E97" s="68">
        <f>$C$97+E$50</f>
        <v>46297.222999999998</v>
      </c>
      <c r="F97" s="68">
        <f t="shared" ref="F97:N97" si="35">E$97+F$50</f>
        <v>45949.60529</v>
      </c>
      <c r="G97" s="68">
        <f t="shared" si="35"/>
        <v>45517.523950000003</v>
      </c>
      <c r="H97" s="68">
        <f t="shared" si="35"/>
        <v>44936.841790442937</v>
      </c>
      <c r="I97" s="68">
        <f t="shared" si="35"/>
        <v>44202.759228567113</v>
      </c>
      <c r="J97" s="68">
        <f t="shared" si="35"/>
        <v>44260.942597852641</v>
      </c>
      <c r="K97" s="68">
        <f t="shared" si="35"/>
        <v>44818.090397734864</v>
      </c>
      <c r="L97" s="68">
        <f t="shared" si="35"/>
        <v>45715.355313464635</v>
      </c>
      <c r="M97" s="68">
        <f t="shared" si="35"/>
        <v>46517.242332684196</v>
      </c>
      <c r="N97" s="68">
        <f t="shared" si="35"/>
        <v>47382.513221790607</v>
      </c>
    </row>
    <row r="98" spans="1:14" ht="11" thickBot="1">
      <c r="A98" s="108" t="s">
        <v>292</v>
      </c>
      <c r="C98" s="13">
        <f>SUM(C96:C97)</f>
        <v>46486.623</v>
      </c>
      <c r="E98" s="13">
        <f t="shared" ref="E98:N98" si="36">SUM(E96:E97)</f>
        <v>47672.909564000001</v>
      </c>
      <c r="F98" s="13">
        <f t="shared" si="36"/>
        <v>47325.291854000003</v>
      </c>
      <c r="G98" s="13">
        <f t="shared" si="36"/>
        <v>49967.752269279241</v>
      </c>
      <c r="H98" s="13">
        <f t="shared" si="36"/>
        <v>49387.070109722175</v>
      </c>
      <c r="I98" s="13">
        <f t="shared" si="36"/>
        <v>52420.697310628297</v>
      </c>
      <c r="J98" s="13">
        <f t="shared" si="36"/>
        <v>52478.880679913826</v>
      </c>
      <c r="K98" s="13">
        <f t="shared" si="36"/>
        <v>56983.586532810092</v>
      </c>
      <c r="L98" s="13">
        <f t="shared" si="36"/>
        <v>57880.851448539863</v>
      </c>
      <c r="M98" s="13">
        <f t="shared" si="36"/>
        <v>63040.432671861709</v>
      </c>
      <c r="N98" s="13">
        <f t="shared" si="36"/>
        <v>63905.703560968119</v>
      </c>
    </row>
  </sheetData>
  <pageMargins left="0.7" right="0.7" top="0.75" bottom="0.75" header="0.3" footer="0.3"/>
  <pageSetup paperSize="8"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08C0-57B3-454B-A37F-BD673BEF0125}">
  <sheetPr codeName="Sheet31">
    <pageSetUpPr fitToPage="1"/>
  </sheetPr>
  <dimension ref="A1:Q98"/>
  <sheetViews>
    <sheetView topLeftCell="A91" workbookViewId="0">
      <selection activeCell="A100" sqref="A100:XFD122"/>
    </sheetView>
  </sheetViews>
  <sheetFormatPr defaultColWidth="6.6328125" defaultRowHeight="10.5"/>
  <cols>
    <col min="1" max="1" width="67.6328125" style="1" customWidth="1"/>
    <col min="2" max="2" width="1.54296875" style="1" customWidth="1"/>
    <col min="3" max="3" width="12.7265625" style="1" customWidth="1"/>
    <col min="4" max="4" width="1.90625" style="1" customWidth="1"/>
    <col min="5" max="14" width="12.7265625" style="1" customWidth="1"/>
    <col min="15" max="16" width="9.54296875" style="1" customWidth="1"/>
    <col min="17" max="17" width="8.08984375" style="1" customWidth="1"/>
    <col min="18" max="19" width="9.54296875" style="1" customWidth="1"/>
    <col min="20" max="16384" width="6.6328125" style="1"/>
  </cols>
  <sheetData>
    <row r="1" spans="1:17" ht="11" thickBot="1">
      <c r="A1" s="104" t="s">
        <v>222</v>
      </c>
      <c r="B1" s="91"/>
      <c r="C1" s="91" t="s">
        <v>29</v>
      </c>
      <c r="D1" s="91"/>
      <c r="E1" s="91" t="s">
        <v>19</v>
      </c>
      <c r="F1" s="91" t="s">
        <v>20</v>
      </c>
      <c r="G1" s="91" t="s">
        <v>21</v>
      </c>
      <c r="H1" s="91" t="s">
        <v>22</v>
      </c>
      <c r="I1" s="91" t="s">
        <v>23</v>
      </c>
      <c r="J1" s="91" t="s">
        <v>24</v>
      </c>
      <c r="K1" s="91" t="s">
        <v>25</v>
      </c>
      <c r="L1" s="91" t="s">
        <v>26</v>
      </c>
      <c r="M1" s="91" t="s">
        <v>27</v>
      </c>
      <c r="N1" s="91" t="s">
        <v>28</v>
      </c>
      <c r="O1" s="105"/>
      <c r="P1" s="91" t="s">
        <v>158</v>
      </c>
    </row>
    <row r="2" spans="1:17" ht="11" thickBot="1">
      <c r="A2" s="106" t="s">
        <v>223</v>
      </c>
      <c r="C2" s="4"/>
      <c r="E2" s="4"/>
      <c r="F2" s="4"/>
      <c r="G2" s="4"/>
      <c r="H2" s="4"/>
      <c r="I2" s="4"/>
      <c r="J2" s="4"/>
      <c r="K2" s="4"/>
      <c r="L2" s="4"/>
      <c r="M2" s="4"/>
      <c r="N2" s="4"/>
      <c r="O2" s="105"/>
      <c r="P2" s="4"/>
    </row>
    <row r="3" spans="1:17" ht="11" thickBot="1">
      <c r="A3" s="5" t="s">
        <v>224</v>
      </c>
      <c r="C3" s="113">
        <v>0</v>
      </c>
      <c r="E3" s="113">
        <v>0</v>
      </c>
      <c r="F3" s="113">
        <v>0</v>
      </c>
      <c r="G3" s="113">
        <v>0</v>
      </c>
      <c r="H3" s="113">
        <v>0</v>
      </c>
      <c r="I3" s="113">
        <v>0</v>
      </c>
      <c r="J3" s="113">
        <v>0</v>
      </c>
      <c r="K3" s="113">
        <v>0</v>
      </c>
      <c r="L3" s="113">
        <v>0</v>
      </c>
      <c r="M3" s="113">
        <v>0</v>
      </c>
      <c r="N3" s="113">
        <v>0</v>
      </c>
      <c r="P3" s="107">
        <f>SUM(E3:N3)</f>
        <v>0</v>
      </c>
    </row>
    <row r="4" spans="1:17" ht="11" thickBot="1">
      <c r="A4" s="5" t="s">
        <v>225</v>
      </c>
      <c r="C4" s="113">
        <v>3789.7096499999998</v>
      </c>
      <c r="E4" s="113">
        <v>4461</v>
      </c>
      <c r="F4" s="113">
        <v>5388.50587</v>
      </c>
      <c r="G4" s="113">
        <v>5902.7698799999998</v>
      </c>
      <c r="H4" s="113">
        <v>7637.2342186292863</v>
      </c>
      <c r="I4" s="113">
        <v>8820.9394852561691</v>
      </c>
      <c r="J4" s="113">
        <v>11309.692746093018</v>
      </c>
      <c r="K4" s="113">
        <v>13537.42639693391</v>
      </c>
      <c r="L4" s="113">
        <v>16312.879576411671</v>
      </c>
      <c r="M4" s="113">
        <v>15321.868049312714</v>
      </c>
      <c r="N4" s="113">
        <v>15951.629586778645</v>
      </c>
      <c r="P4" s="107">
        <f>SUM(E4:N4)</f>
        <v>104643.94580941541</v>
      </c>
    </row>
    <row r="5" spans="1:17" ht="11" thickBot="1">
      <c r="A5" s="5" t="s">
        <v>226</v>
      </c>
      <c r="C5" s="113">
        <v>0</v>
      </c>
      <c r="E5" s="113">
        <v>200</v>
      </c>
      <c r="F5" s="113">
        <v>0</v>
      </c>
      <c r="G5" s="113">
        <v>0</v>
      </c>
      <c r="H5" s="113">
        <v>0</v>
      </c>
      <c r="I5" s="113">
        <v>0</v>
      </c>
      <c r="J5" s="113">
        <v>0</v>
      </c>
      <c r="K5" s="113">
        <v>0</v>
      </c>
      <c r="L5" s="113">
        <v>0</v>
      </c>
      <c r="M5" s="113">
        <v>0</v>
      </c>
      <c r="N5" s="113">
        <v>0</v>
      </c>
      <c r="P5" s="107">
        <f>SUM(E5:N5)</f>
        <v>200</v>
      </c>
    </row>
    <row r="6" spans="1:17" ht="11" thickBot="1">
      <c r="A6" s="5" t="s">
        <v>227</v>
      </c>
      <c r="C6" s="113">
        <v>315.374662</v>
      </c>
      <c r="E6" s="113">
        <v>0</v>
      </c>
      <c r="F6" s="113">
        <v>0</v>
      </c>
      <c r="G6" s="113">
        <v>0</v>
      </c>
      <c r="H6" s="113">
        <v>0</v>
      </c>
      <c r="I6" s="113">
        <v>0</v>
      </c>
      <c r="J6" s="113">
        <v>0</v>
      </c>
      <c r="K6" s="113">
        <v>0</v>
      </c>
      <c r="L6" s="113">
        <v>0</v>
      </c>
      <c r="M6" s="113">
        <v>0</v>
      </c>
      <c r="N6" s="113">
        <v>0</v>
      </c>
      <c r="P6" s="107">
        <f>SUM(E6:N6)</f>
        <v>0</v>
      </c>
    </row>
    <row r="7" spans="1:17" ht="11" thickBot="1">
      <c r="A7" s="5" t="s">
        <v>228</v>
      </c>
      <c r="C7" s="113">
        <v>26.41713</v>
      </c>
      <c r="E7" s="113">
        <v>34</v>
      </c>
      <c r="F7" s="113">
        <v>29.5</v>
      </c>
      <c r="G7" s="113">
        <v>29.5</v>
      </c>
      <c r="H7" s="113">
        <v>29.5</v>
      </c>
      <c r="I7" s="113">
        <v>29.5</v>
      </c>
      <c r="J7" s="113">
        <v>29.5</v>
      </c>
      <c r="K7" s="113">
        <v>29.5</v>
      </c>
      <c r="L7" s="113">
        <v>29.5</v>
      </c>
      <c r="M7" s="113">
        <v>29.5</v>
      </c>
      <c r="N7" s="113">
        <v>29.5</v>
      </c>
      <c r="P7" s="107">
        <f>SUM(E7:N7)</f>
        <v>299.5</v>
      </c>
    </row>
    <row r="8" spans="1:17" ht="11" thickBot="1">
      <c r="A8" s="108" t="s">
        <v>229</v>
      </c>
      <c r="C8" s="13">
        <f>SUM(C3:C7)</f>
        <v>4131.5014419999998</v>
      </c>
      <c r="E8" s="13">
        <f t="shared" ref="E8:N8" si="0">SUM(E3:E7)</f>
        <v>4695</v>
      </c>
      <c r="F8" s="13">
        <f t="shared" si="0"/>
        <v>5418.00587</v>
      </c>
      <c r="G8" s="13">
        <f t="shared" si="0"/>
        <v>5932.2698799999998</v>
      </c>
      <c r="H8" s="13">
        <f t="shared" si="0"/>
        <v>7666.7342186292863</v>
      </c>
      <c r="I8" s="13">
        <f t="shared" si="0"/>
        <v>8850.4394852561691</v>
      </c>
      <c r="J8" s="13">
        <f t="shared" si="0"/>
        <v>11339.192746093018</v>
      </c>
      <c r="K8" s="13">
        <f t="shared" si="0"/>
        <v>13566.92639693391</v>
      </c>
      <c r="L8" s="13">
        <f t="shared" si="0"/>
        <v>16342.379576411671</v>
      </c>
      <c r="M8" s="13">
        <f t="shared" si="0"/>
        <v>15351.368049312714</v>
      </c>
      <c r="N8" s="13">
        <f t="shared" si="0"/>
        <v>15981.129586778645</v>
      </c>
      <c r="P8" s="13">
        <f>SUM(P3:P7)</f>
        <v>105143.44580941541</v>
      </c>
    </row>
    <row r="9" spans="1:17" ht="5.25" customHeight="1" thickBot="1">
      <c r="A9" s="76"/>
      <c r="E9" s="109"/>
      <c r="F9" s="109"/>
      <c r="G9" s="109"/>
      <c r="H9" s="109"/>
      <c r="I9" s="109"/>
      <c r="J9" s="109"/>
      <c r="K9" s="109"/>
      <c r="L9" s="109"/>
      <c r="M9" s="109"/>
      <c r="N9" s="109"/>
    </row>
    <row r="10" spans="1:17" ht="11" thickBot="1">
      <c r="A10" s="106" t="s">
        <v>230</v>
      </c>
      <c r="C10" s="4"/>
      <c r="E10" s="4"/>
      <c r="F10" s="4"/>
      <c r="G10" s="4"/>
      <c r="H10" s="4"/>
      <c r="I10" s="4"/>
      <c r="J10" s="4"/>
      <c r="K10" s="4"/>
      <c r="L10" s="4"/>
      <c r="M10" s="4"/>
      <c r="N10" s="4"/>
      <c r="O10" s="105"/>
      <c r="P10" s="4"/>
    </row>
    <row r="11" spans="1:17" ht="11" thickBot="1">
      <c r="A11" s="5" t="s">
        <v>231</v>
      </c>
      <c r="C11" s="113">
        <v>2261.1543300000003</v>
      </c>
      <c r="E11" s="113">
        <v>3461.2</v>
      </c>
      <c r="F11" s="113">
        <v>3624.89075</v>
      </c>
      <c r="G11" s="113">
        <v>2805.1477500000001</v>
      </c>
      <c r="H11" s="113">
        <v>2830.3916767226228</v>
      </c>
      <c r="I11" s="113">
        <v>3617.8028376406883</v>
      </c>
      <c r="J11" s="113">
        <v>3558.7769114229159</v>
      </c>
      <c r="K11" s="113">
        <v>2779.3170544110185</v>
      </c>
      <c r="L11" s="113">
        <v>3553.6960249719573</v>
      </c>
      <c r="M11" s="113">
        <v>2772.6348758992308</v>
      </c>
      <c r="N11" s="113">
        <v>3545.1844008246903</v>
      </c>
      <c r="P11" s="107">
        <f>SUM(E11:N11)</f>
        <v>32549.042281893122</v>
      </c>
    </row>
    <row r="12" spans="1:17" ht="11" thickBot="1">
      <c r="A12" s="5" t="s">
        <v>232</v>
      </c>
      <c r="C12" s="113">
        <v>575.43247999999994</v>
      </c>
      <c r="E12" s="113">
        <v>811</v>
      </c>
      <c r="F12" s="113">
        <v>1177.6036799999999</v>
      </c>
      <c r="G12" s="113">
        <v>1570.10051</v>
      </c>
      <c r="H12" s="113">
        <v>2583.0855563831278</v>
      </c>
      <c r="I12" s="113">
        <v>3313.8791489246705</v>
      </c>
      <c r="J12" s="113">
        <v>4048.0263809247135</v>
      </c>
      <c r="K12" s="113">
        <v>4689.2127613983694</v>
      </c>
      <c r="L12" s="113">
        <v>5048.4152414856453</v>
      </c>
      <c r="M12" s="113">
        <v>5089.8840199227352</v>
      </c>
      <c r="N12" s="113">
        <v>5042.841834179444</v>
      </c>
      <c r="P12" s="107">
        <f>SUM(E12:N12)</f>
        <v>33374.049133218708</v>
      </c>
    </row>
    <row r="13" spans="1:17" ht="11" thickBot="1">
      <c r="A13" s="5" t="s">
        <v>233</v>
      </c>
      <c r="C13" s="113">
        <v>265.86953999999997</v>
      </c>
      <c r="E13" s="113">
        <v>444</v>
      </c>
      <c r="F13" s="113">
        <v>423.01398</v>
      </c>
      <c r="G13" s="113">
        <v>430.36113</v>
      </c>
      <c r="H13" s="113">
        <v>466.07309000000004</v>
      </c>
      <c r="I13" s="113">
        <v>472.27259999999995</v>
      </c>
      <c r="J13" s="113">
        <v>483.98245000000003</v>
      </c>
      <c r="K13" s="113">
        <v>485.12079999999997</v>
      </c>
      <c r="L13" s="113">
        <v>488.29255999999998</v>
      </c>
      <c r="M13" s="113">
        <v>489.91928000000001</v>
      </c>
      <c r="N13" s="113">
        <v>491.18728999999996</v>
      </c>
      <c r="P13" s="107">
        <f>SUM(E13:N13)</f>
        <v>4674.22318</v>
      </c>
    </row>
    <row r="14" spans="1:17" ht="11" thickBot="1">
      <c r="A14" s="5" t="s">
        <v>234</v>
      </c>
      <c r="C14" s="113">
        <v>0</v>
      </c>
      <c r="E14" s="113">
        <v>0</v>
      </c>
      <c r="F14" s="113">
        <v>0</v>
      </c>
      <c r="G14" s="113">
        <v>0</v>
      </c>
      <c r="H14" s="113">
        <v>0</v>
      </c>
      <c r="I14" s="113">
        <v>0</v>
      </c>
      <c r="J14" s="113">
        <v>0</v>
      </c>
      <c r="K14" s="113">
        <v>0</v>
      </c>
      <c r="L14" s="113">
        <v>0</v>
      </c>
      <c r="M14" s="113">
        <v>0</v>
      </c>
      <c r="N14" s="113">
        <v>0</v>
      </c>
      <c r="P14" s="107">
        <f>SUM(E14:N14)</f>
        <v>0</v>
      </c>
    </row>
    <row r="15" spans="1:17" ht="11" thickBot="1">
      <c r="A15" s="108" t="s">
        <v>235</v>
      </c>
      <c r="C15" s="13">
        <f>SUM(C11:C14)</f>
        <v>3102.4563500000004</v>
      </c>
      <c r="E15" s="13">
        <f t="shared" ref="E15:N15" si="1">SUM(E11:E14)</f>
        <v>4716.2</v>
      </c>
      <c r="F15" s="13">
        <f t="shared" si="1"/>
        <v>5225.5084099999995</v>
      </c>
      <c r="G15" s="13">
        <f t="shared" si="1"/>
        <v>4805.6093900000005</v>
      </c>
      <c r="H15" s="13">
        <f t="shared" si="1"/>
        <v>5879.5503231057501</v>
      </c>
      <c r="I15" s="13">
        <f t="shared" si="1"/>
        <v>7403.954586565359</v>
      </c>
      <c r="J15" s="13">
        <f t="shared" si="1"/>
        <v>8090.7857423476298</v>
      </c>
      <c r="K15" s="13">
        <f t="shared" si="1"/>
        <v>7953.650615809388</v>
      </c>
      <c r="L15" s="13">
        <f t="shared" si="1"/>
        <v>9090.4038264576029</v>
      </c>
      <c r="M15" s="13">
        <f t="shared" si="1"/>
        <v>8352.4381758219661</v>
      </c>
      <c r="N15" s="13">
        <f t="shared" si="1"/>
        <v>9079.2135250041338</v>
      </c>
      <c r="P15" s="13">
        <f>SUM(P11:P14)</f>
        <v>70597.314595111835</v>
      </c>
      <c r="Q15" s="77"/>
    </row>
    <row r="16" spans="1:17" ht="5.25" customHeight="1" thickBot="1">
      <c r="A16" s="110"/>
    </row>
    <row r="17" spans="1:16" ht="11" thickBot="1">
      <c r="A17" s="108" t="s">
        <v>236</v>
      </c>
      <c r="C17" s="13">
        <f>C8-C15</f>
        <v>1029.0450919999994</v>
      </c>
      <c r="E17" s="13">
        <f t="shared" ref="E17:N17" si="2">E8-E15</f>
        <v>-21.199999999999818</v>
      </c>
      <c r="F17" s="13">
        <f t="shared" si="2"/>
        <v>192.4974600000005</v>
      </c>
      <c r="G17" s="13">
        <f t="shared" si="2"/>
        <v>1126.6604899999993</v>
      </c>
      <c r="H17" s="13">
        <f t="shared" si="2"/>
        <v>1787.1838955235362</v>
      </c>
      <c r="I17" s="13">
        <f t="shared" si="2"/>
        <v>1446.48489869081</v>
      </c>
      <c r="J17" s="13">
        <f t="shared" si="2"/>
        <v>3248.4070037453885</v>
      </c>
      <c r="K17" s="13">
        <f t="shared" si="2"/>
        <v>5613.2757811245219</v>
      </c>
      <c r="L17" s="13">
        <f t="shared" si="2"/>
        <v>7251.9757499540683</v>
      </c>
      <c r="M17" s="13">
        <f t="shared" si="2"/>
        <v>6998.9298734907479</v>
      </c>
      <c r="N17" s="13">
        <f t="shared" si="2"/>
        <v>6901.916061774511</v>
      </c>
      <c r="P17" s="13">
        <f>P8-P15</f>
        <v>34546.131214303576</v>
      </c>
    </row>
    <row r="18" spans="1:16" ht="5.25" customHeight="1" thickBot="1">
      <c r="A18" s="76"/>
    </row>
    <row r="19" spans="1:16" ht="11" thickBot="1">
      <c r="A19" s="106" t="s">
        <v>237</v>
      </c>
      <c r="C19" s="4"/>
      <c r="E19" s="4"/>
      <c r="F19" s="4"/>
      <c r="G19" s="4"/>
      <c r="H19" s="4"/>
      <c r="I19" s="4"/>
      <c r="J19" s="4"/>
      <c r="K19" s="4"/>
      <c r="L19" s="4"/>
      <c r="M19" s="4"/>
      <c r="N19" s="4"/>
      <c r="O19" s="105"/>
      <c r="P19" s="4"/>
    </row>
    <row r="20" spans="1:16" ht="11" thickBot="1">
      <c r="A20" s="5" t="s">
        <v>238</v>
      </c>
      <c r="C20" s="113">
        <v>0</v>
      </c>
      <c r="E20" s="113">
        <v>0</v>
      </c>
      <c r="F20" s="113">
        <v>0</v>
      </c>
      <c r="G20" s="113">
        <v>0</v>
      </c>
      <c r="H20" s="113">
        <v>0</v>
      </c>
      <c r="I20" s="113">
        <v>0</v>
      </c>
      <c r="J20" s="113">
        <v>0</v>
      </c>
      <c r="K20" s="113">
        <v>0</v>
      </c>
      <c r="L20" s="113">
        <v>0</v>
      </c>
      <c r="M20" s="113">
        <v>0</v>
      </c>
      <c r="N20" s="113">
        <v>0</v>
      </c>
      <c r="P20" s="107">
        <f>SUM(E20:N20)</f>
        <v>0</v>
      </c>
    </row>
    <row r="21" spans="1:16" ht="11" thickBot="1">
      <c r="A21" s="5" t="s">
        <v>239</v>
      </c>
      <c r="C21" s="113">
        <v>479.59701999999999</v>
      </c>
      <c r="E21" s="113">
        <v>237.8</v>
      </c>
      <c r="F21" s="113">
        <v>228.51900000000001</v>
      </c>
      <c r="G21" s="113">
        <v>228.51900000000001</v>
      </c>
      <c r="H21" s="113">
        <v>228.51900000000001</v>
      </c>
      <c r="I21" s="113">
        <v>228.51900000000001</v>
      </c>
      <c r="J21" s="113">
        <v>228.51900000000001</v>
      </c>
      <c r="K21" s="113">
        <v>228.51900000000001</v>
      </c>
      <c r="L21" s="113">
        <v>228.51900000000001</v>
      </c>
      <c r="M21" s="113">
        <v>228.51900000000001</v>
      </c>
      <c r="N21" s="113">
        <v>228.51900000000001</v>
      </c>
      <c r="P21" s="107">
        <f>SUM(E21:N21)</f>
        <v>2294.4710000000005</v>
      </c>
    </row>
    <row r="22" spans="1:16" ht="11" thickBot="1">
      <c r="A22" s="5" t="s">
        <v>240</v>
      </c>
      <c r="C22" s="113">
        <v>-277.8</v>
      </c>
      <c r="E22" s="113">
        <v>1930.6</v>
      </c>
      <c r="F22" s="113">
        <v>3758.6375600000001</v>
      </c>
      <c r="G22" s="113">
        <v>11160.073550000001</v>
      </c>
      <c r="H22" s="113">
        <v>12944.889513039399</v>
      </c>
      <c r="I22" s="113">
        <v>12941.647601309189</v>
      </c>
      <c r="J22" s="113">
        <v>6582.1278250835658</v>
      </c>
      <c r="K22" s="113">
        <v>2025.1669496431291</v>
      </c>
      <c r="L22" s="113">
        <v>935.18611971886367</v>
      </c>
      <c r="M22" s="113">
        <v>-2530.1970232220924</v>
      </c>
      <c r="N22" s="113">
        <v>-969.2216820837566</v>
      </c>
      <c r="P22" s="107">
        <f>SUM(E22:N22)</f>
        <v>48778.910413488302</v>
      </c>
    </row>
    <row r="23" spans="1:16" ht="11" thickBot="1">
      <c r="A23" s="5" t="s">
        <v>241</v>
      </c>
      <c r="C23" s="113">
        <v>0</v>
      </c>
      <c r="E23" s="113">
        <v>0</v>
      </c>
      <c r="F23" s="113">
        <v>0</v>
      </c>
      <c r="G23" s="113">
        <v>0</v>
      </c>
      <c r="H23" s="113">
        <v>0</v>
      </c>
      <c r="I23" s="113">
        <v>0</v>
      </c>
      <c r="J23" s="113">
        <v>0</v>
      </c>
      <c r="K23" s="113">
        <v>0</v>
      </c>
      <c r="L23" s="113">
        <v>0</v>
      </c>
      <c r="M23" s="113">
        <v>0</v>
      </c>
      <c r="N23" s="113">
        <v>0</v>
      </c>
      <c r="P23" s="107">
        <f>SUM(E23:N23)</f>
        <v>0</v>
      </c>
    </row>
    <row r="24" spans="1:16" ht="11" thickBot="1">
      <c r="A24" s="5" t="s">
        <v>242</v>
      </c>
      <c r="C24" s="113">
        <v>0</v>
      </c>
      <c r="E24" s="113">
        <v>0</v>
      </c>
      <c r="F24" s="113">
        <v>0</v>
      </c>
      <c r="G24" s="113">
        <v>0</v>
      </c>
      <c r="H24" s="113">
        <v>0</v>
      </c>
      <c r="I24" s="113">
        <v>0</v>
      </c>
      <c r="J24" s="113">
        <v>0</v>
      </c>
      <c r="K24" s="113">
        <v>0</v>
      </c>
      <c r="L24" s="113">
        <v>0</v>
      </c>
      <c r="M24" s="113">
        <v>0</v>
      </c>
      <c r="N24" s="113">
        <v>0</v>
      </c>
      <c r="P24" s="107">
        <f>SUM(E24:N24)</f>
        <v>0</v>
      </c>
    </row>
    <row r="25" spans="1:16" ht="11" thickBot="1">
      <c r="A25" s="108" t="s">
        <v>243</v>
      </c>
      <c r="C25" s="13">
        <f>SUM(C20:C24)</f>
        <v>201.79701999999997</v>
      </c>
      <c r="E25" s="13">
        <f t="shared" ref="E25:N25" si="3">SUM(E20:E24)</f>
        <v>2168.4</v>
      </c>
      <c r="F25" s="13">
        <f t="shared" si="3"/>
        <v>3987.1565600000004</v>
      </c>
      <c r="G25" s="13">
        <f t="shared" si="3"/>
        <v>11388.592550000001</v>
      </c>
      <c r="H25" s="13">
        <f t="shared" si="3"/>
        <v>13173.4085130394</v>
      </c>
      <c r="I25" s="13">
        <f t="shared" si="3"/>
        <v>13170.166601309189</v>
      </c>
      <c r="J25" s="13">
        <f t="shared" si="3"/>
        <v>6810.646825083566</v>
      </c>
      <c r="K25" s="13">
        <f t="shared" si="3"/>
        <v>2253.6859496431289</v>
      </c>
      <c r="L25" s="13">
        <f t="shared" si="3"/>
        <v>1163.7051197188637</v>
      </c>
      <c r="M25" s="13">
        <f t="shared" si="3"/>
        <v>-2301.6780232220926</v>
      </c>
      <c r="N25" s="13">
        <f t="shared" si="3"/>
        <v>-740.7026820837566</v>
      </c>
      <c r="P25" s="13">
        <f>SUM(P20:P24)</f>
        <v>51073.3814134883</v>
      </c>
    </row>
    <row r="26" spans="1:16" ht="5.25" customHeight="1" thickBot="1">
      <c r="A26" s="76"/>
    </row>
    <row r="27" spans="1:16" ht="11" thickBot="1">
      <c r="A27" s="106" t="s">
        <v>244</v>
      </c>
      <c r="C27" s="4"/>
      <c r="E27" s="4"/>
      <c r="F27" s="4"/>
      <c r="G27" s="4"/>
      <c r="H27" s="4"/>
      <c r="I27" s="4"/>
      <c r="J27" s="4"/>
      <c r="K27" s="4"/>
      <c r="L27" s="4"/>
      <c r="M27" s="4"/>
      <c r="N27" s="4"/>
      <c r="O27" s="105"/>
      <c r="P27" s="4"/>
    </row>
    <row r="28" spans="1:16" ht="11" thickBot="1">
      <c r="A28" s="5" t="s">
        <v>194</v>
      </c>
      <c r="C28" s="113">
        <v>6.5237199999999991</v>
      </c>
      <c r="E28" s="113">
        <v>0</v>
      </c>
      <c r="F28" s="113">
        <v>992.68399999999997</v>
      </c>
      <c r="G28" s="113">
        <v>2984.4180000000001</v>
      </c>
      <c r="H28" s="113">
        <v>5225</v>
      </c>
      <c r="I28" s="113">
        <v>3300.0000000000005</v>
      </c>
      <c r="J28" s="113">
        <v>2199.1724733250217</v>
      </c>
      <c r="K28" s="113">
        <v>0</v>
      </c>
      <c r="L28" s="113">
        <v>0</v>
      </c>
      <c r="M28" s="113">
        <v>0</v>
      </c>
      <c r="N28" s="113">
        <v>0</v>
      </c>
      <c r="P28" s="107">
        <f>SUM(E28:N28)</f>
        <v>14701.27447332502</v>
      </c>
    </row>
    <row r="29" spans="1:16" ht="11" thickBot="1">
      <c r="A29" s="5" t="s">
        <v>195</v>
      </c>
      <c r="C29" s="113">
        <v>2640.1857100000007</v>
      </c>
      <c r="E29" s="113">
        <v>3110.2</v>
      </c>
      <c r="F29" s="113">
        <v>2251.3440000000001</v>
      </c>
      <c r="G29" s="113">
        <v>8954.0470000000005</v>
      </c>
      <c r="H29" s="113">
        <v>8870.4</v>
      </c>
      <c r="I29" s="113">
        <v>11021.45</v>
      </c>
      <c r="J29" s="113">
        <v>5477.6318983562896</v>
      </c>
      <c r="K29" s="113">
        <v>5503.3126457602466</v>
      </c>
      <c r="L29" s="113">
        <v>5982.81125621089</v>
      </c>
      <c r="M29" s="113">
        <v>2343.9448596051548</v>
      </c>
      <c r="N29" s="113">
        <v>3819.2665740203552</v>
      </c>
      <c r="P29" s="107">
        <f>SUM(E29:N29)</f>
        <v>57334.408233952934</v>
      </c>
    </row>
    <row r="30" spans="1:16" ht="11" thickBot="1">
      <c r="A30" s="5" t="s">
        <v>196</v>
      </c>
      <c r="C30" s="113">
        <v>1701.5638799999999</v>
      </c>
      <c r="E30" s="113">
        <v>646</v>
      </c>
      <c r="F30" s="113">
        <v>935.62599999999998</v>
      </c>
      <c r="G30" s="113">
        <v>576.78800000000001</v>
      </c>
      <c r="H30" s="113">
        <v>377.96550000000008</v>
      </c>
      <c r="I30" s="113">
        <v>295.20150000000001</v>
      </c>
      <c r="J30" s="113">
        <v>2382.2494571476427</v>
      </c>
      <c r="K30" s="113">
        <v>2363.6490850074033</v>
      </c>
      <c r="L30" s="113">
        <v>2432.8696134620423</v>
      </c>
      <c r="M30" s="113">
        <v>2353.3069906635028</v>
      </c>
      <c r="N30" s="113">
        <v>2341.9468056703995</v>
      </c>
      <c r="P30" s="107">
        <f>SUM(E30:N30)</f>
        <v>14705.60295195099</v>
      </c>
    </row>
    <row r="31" spans="1:16" ht="11" thickBot="1">
      <c r="A31" s="5" t="s">
        <v>245</v>
      </c>
      <c r="C31" s="113">
        <v>-3117.4311980000007</v>
      </c>
      <c r="E31" s="113">
        <v>-1609</v>
      </c>
      <c r="F31" s="113">
        <v>0</v>
      </c>
      <c r="G31" s="113">
        <v>0</v>
      </c>
      <c r="H31" s="113">
        <v>0</v>
      </c>
      <c r="I31" s="113">
        <v>0</v>
      </c>
      <c r="J31" s="113">
        <v>0</v>
      </c>
      <c r="K31" s="113">
        <v>0</v>
      </c>
      <c r="L31" s="113">
        <v>0</v>
      </c>
      <c r="M31" s="113">
        <v>0</v>
      </c>
      <c r="N31" s="113">
        <v>0</v>
      </c>
      <c r="P31" s="107">
        <f>SUM(E31:N31)</f>
        <v>-1609</v>
      </c>
    </row>
    <row r="32" spans="1:16" ht="11" thickBot="1">
      <c r="A32" s="5" t="s">
        <v>246</v>
      </c>
      <c r="C32" s="113">
        <v>0</v>
      </c>
      <c r="E32" s="113">
        <v>0</v>
      </c>
      <c r="F32" s="113">
        <v>0</v>
      </c>
      <c r="G32" s="113">
        <v>0</v>
      </c>
      <c r="H32" s="113">
        <v>487.22690856293536</v>
      </c>
      <c r="I32" s="113">
        <v>0</v>
      </c>
      <c r="J32" s="113">
        <v>0</v>
      </c>
      <c r="K32" s="113">
        <v>0</v>
      </c>
      <c r="L32" s="113">
        <v>0</v>
      </c>
      <c r="M32" s="113">
        <v>0</v>
      </c>
      <c r="N32" s="113">
        <v>0</v>
      </c>
      <c r="P32" s="107">
        <f>SUM(E32:N32)</f>
        <v>487.22690856293536</v>
      </c>
    </row>
    <row r="33" spans="1:16" ht="11" thickBot="1">
      <c r="A33" s="108" t="s">
        <v>247</v>
      </c>
      <c r="C33" s="13">
        <f>SUM(C28:C32)</f>
        <v>1230.8421119999998</v>
      </c>
      <c r="E33" s="13">
        <f t="shared" ref="E33:M33" si="4">SUM(E28:E32)</f>
        <v>2147.1999999999998</v>
      </c>
      <c r="F33" s="13">
        <f t="shared" si="4"/>
        <v>4179.6540000000005</v>
      </c>
      <c r="G33" s="13">
        <f t="shared" si="4"/>
        <v>12515.253000000001</v>
      </c>
      <c r="H33" s="13">
        <f t="shared" si="4"/>
        <v>14960.592408562936</v>
      </c>
      <c r="I33" s="13">
        <f t="shared" si="4"/>
        <v>14616.6515</v>
      </c>
      <c r="J33" s="13">
        <f t="shared" si="4"/>
        <v>10059.053828828954</v>
      </c>
      <c r="K33" s="13">
        <f t="shared" si="4"/>
        <v>7866.9617307676499</v>
      </c>
      <c r="L33" s="13">
        <f t="shared" si="4"/>
        <v>8415.6808696729313</v>
      </c>
      <c r="M33" s="13">
        <f t="shared" si="4"/>
        <v>4697.251850268658</v>
      </c>
      <c r="N33" s="13">
        <f>SUM(N28:N32)</f>
        <v>6161.2133796907547</v>
      </c>
      <c r="P33" s="13">
        <f>SUM(P28:P32)</f>
        <v>85619.512567791884</v>
      </c>
    </row>
    <row r="34" spans="1:16" ht="5.25" customHeight="1" thickBot="1">
      <c r="A34" s="110"/>
    </row>
    <row r="35" spans="1:16" ht="11" thickBot="1">
      <c r="A35" s="108" t="s">
        <v>248</v>
      </c>
      <c r="C35" s="13">
        <f>C25-C33</f>
        <v>-1029.0450919999998</v>
      </c>
      <c r="E35" s="13">
        <f t="shared" ref="E35:M35" si="5">E25-E33</f>
        <v>21.200000000000273</v>
      </c>
      <c r="F35" s="13">
        <f t="shared" si="5"/>
        <v>-192.4974400000001</v>
      </c>
      <c r="G35" s="13">
        <f t="shared" si="5"/>
        <v>-1126.6604499999994</v>
      </c>
      <c r="H35" s="13">
        <f t="shared" si="5"/>
        <v>-1787.1838955235362</v>
      </c>
      <c r="I35" s="13">
        <f t="shared" si="5"/>
        <v>-1446.484898690811</v>
      </c>
      <c r="J35" s="13">
        <f t="shared" si="5"/>
        <v>-3248.4070037453876</v>
      </c>
      <c r="K35" s="13">
        <f t="shared" si="5"/>
        <v>-5613.275781124521</v>
      </c>
      <c r="L35" s="13">
        <f t="shared" si="5"/>
        <v>-7251.9757499540674</v>
      </c>
      <c r="M35" s="13">
        <f t="shared" si="5"/>
        <v>-6998.9298734907507</v>
      </c>
      <c r="N35" s="13">
        <f>N25-N33</f>
        <v>-6901.916061774511</v>
      </c>
      <c r="P35" s="13">
        <f>P25-P33</f>
        <v>-34546.131154303584</v>
      </c>
    </row>
    <row r="36" spans="1:16" ht="5.25" customHeight="1" thickBot="1">
      <c r="A36" s="111"/>
    </row>
    <row r="37" spans="1:16" ht="11" thickBot="1">
      <c r="A37" s="108" t="s">
        <v>249</v>
      </c>
      <c r="C37" s="13">
        <f>C17+C35</f>
        <v>0</v>
      </c>
      <c r="E37" s="13">
        <f t="shared" ref="E37:M37" si="6">E17+E35</f>
        <v>4.5474735088646412E-13</v>
      </c>
      <c r="F37" s="13">
        <f t="shared" si="6"/>
        <v>2.0000000404252205E-5</v>
      </c>
      <c r="G37" s="13">
        <f t="shared" si="6"/>
        <v>3.9999999899009708E-5</v>
      </c>
      <c r="H37" s="13">
        <f t="shared" si="6"/>
        <v>0</v>
      </c>
      <c r="I37" s="13">
        <f t="shared" si="6"/>
        <v>0</v>
      </c>
      <c r="J37" s="13">
        <f t="shared" si="6"/>
        <v>0</v>
      </c>
      <c r="K37" s="13">
        <f t="shared" si="6"/>
        <v>0</v>
      </c>
      <c r="L37" s="13">
        <f t="shared" si="6"/>
        <v>0</v>
      </c>
      <c r="M37" s="13">
        <f t="shared" si="6"/>
        <v>0</v>
      </c>
      <c r="N37" s="13">
        <f>N17+N35</f>
        <v>0</v>
      </c>
      <c r="P37" s="13">
        <f>P17+P35</f>
        <v>5.9999991208314896E-5</v>
      </c>
    </row>
    <row r="38" spans="1:16" ht="11" thickBot="1"/>
    <row r="39" spans="1:16" ht="11" thickBot="1">
      <c r="A39" s="104" t="s">
        <v>250</v>
      </c>
      <c r="B39" s="91"/>
      <c r="C39" s="91" t="s">
        <v>29</v>
      </c>
      <c r="D39" s="91"/>
      <c r="E39" s="91" t="s">
        <v>19</v>
      </c>
      <c r="F39" s="91" t="s">
        <v>20</v>
      </c>
      <c r="G39" s="91" t="s">
        <v>21</v>
      </c>
      <c r="H39" s="91" t="s">
        <v>22</v>
      </c>
      <c r="I39" s="91" t="s">
        <v>23</v>
      </c>
      <c r="J39" s="91" t="s">
        <v>24</v>
      </c>
      <c r="K39" s="91" t="s">
        <v>25</v>
      </c>
      <c r="L39" s="91" t="s">
        <v>26</v>
      </c>
      <c r="M39" s="91" t="s">
        <v>27</v>
      </c>
      <c r="N39" s="91" t="s">
        <v>28</v>
      </c>
      <c r="O39" s="105"/>
    </row>
    <row r="40" spans="1:16" ht="11" thickBot="1">
      <c r="A40" s="5" t="s">
        <v>180</v>
      </c>
      <c r="C40" s="68">
        <f>C$8</f>
        <v>4131.5014419999998</v>
      </c>
      <c r="E40" s="68">
        <f t="shared" ref="E40:N40" si="7">E$8</f>
        <v>4695</v>
      </c>
      <c r="F40" s="68">
        <f t="shared" si="7"/>
        <v>5418.00587</v>
      </c>
      <c r="G40" s="68">
        <f t="shared" si="7"/>
        <v>5932.2698799999998</v>
      </c>
      <c r="H40" s="68">
        <f t="shared" si="7"/>
        <v>7666.7342186292863</v>
      </c>
      <c r="I40" s="68">
        <f t="shared" si="7"/>
        <v>8850.4394852561691</v>
      </c>
      <c r="J40" s="68">
        <f t="shared" si="7"/>
        <v>11339.192746093018</v>
      </c>
      <c r="K40" s="68">
        <f t="shared" si="7"/>
        <v>13566.92639693391</v>
      </c>
      <c r="L40" s="68">
        <f t="shared" si="7"/>
        <v>16342.379576411671</v>
      </c>
      <c r="M40" s="68">
        <f t="shared" si="7"/>
        <v>15351.368049312714</v>
      </c>
      <c r="N40" s="68">
        <f t="shared" si="7"/>
        <v>15981.129586778645</v>
      </c>
    </row>
    <row r="41" spans="1:16" ht="11" thickBot="1">
      <c r="A41" s="5" t="s">
        <v>251</v>
      </c>
      <c r="C41" s="68">
        <f>C$20+C$21+C$23+C$24</f>
        <v>479.59701999999999</v>
      </c>
      <c r="E41" s="68">
        <f t="shared" ref="E41:N41" si="8">E$20+E$21+E$23+E$24</f>
        <v>237.8</v>
      </c>
      <c r="F41" s="68">
        <f t="shared" si="8"/>
        <v>228.51900000000001</v>
      </c>
      <c r="G41" s="68">
        <f t="shared" si="8"/>
        <v>228.51900000000001</v>
      </c>
      <c r="H41" s="68">
        <f t="shared" si="8"/>
        <v>228.51900000000001</v>
      </c>
      <c r="I41" s="68">
        <f t="shared" si="8"/>
        <v>228.51900000000001</v>
      </c>
      <c r="J41" s="68">
        <f t="shared" si="8"/>
        <v>228.51900000000001</v>
      </c>
      <c r="K41" s="68">
        <f t="shared" si="8"/>
        <v>228.51900000000001</v>
      </c>
      <c r="L41" s="68">
        <f t="shared" si="8"/>
        <v>228.51900000000001</v>
      </c>
      <c r="M41" s="68">
        <f t="shared" si="8"/>
        <v>228.51900000000001</v>
      </c>
      <c r="N41" s="68">
        <f t="shared" si="8"/>
        <v>228.51900000000001</v>
      </c>
    </row>
    <row r="42" spans="1:16" ht="11" thickBot="1">
      <c r="A42" s="108" t="s">
        <v>252</v>
      </c>
      <c r="C42" s="13">
        <f>SUM(C40:C41)</f>
        <v>4611.0984619999999</v>
      </c>
      <c r="E42" s="13">
        <f t="shared" ref="E42:N42" si="9">SUM(E40:E41)</f>
        <v>4932.8</v>
      </c>
      <c r="F42" s="13">
        <f t="shared" si="9"/>
        <v>5646.5248700000002</v>
      </c>
      <c r="G42" s="13">
        <f t="shared" si="9"/>
        <v>6160.7888800000001</v>
      </c>
      <c r="H42" s="13">
        <f t="shared" si="9"/>
        <v>7895.2532186292865</v>
      </c>
      <c r="I42" s="13">
        <f t="shared" si="9"/>
        <v>9078.9584852561693</v>
      </c>
      <c r="J42" s="13">
        <f t="shared" si="9"/>
        <v>11567.711746093019</v>
      </c>
      <c r="K42" s="13">
        <f t="shared" si="9"/>
        <v>13795.44539693391</v>
      </c>
      <c r="L42" s="13">
        <f t="shared" si="9"/>
        <v>16570.89857641167</v>
      </c>
      <c r="M42" s="13">
        <f t="shared" si="9"/>
        <v>15579.887049312714</v>
      </c>
      <c r="N42" s="13">
        <f t="shared" si="9"/>
        <v>16209.648586778645</v>
      </c>
    </row>
    <row r="43" spans="1:16" ht="5.25" customHeight="1" thickBot="1">
      <c r="A43" s="5"/>
      <c r="C43" s="112"/>
      <c r="E43" s="112"/>
      <c r="F43" s="112"/>
      <c r="G43" s="112"/>
      <c r="H43" s="112"/>
      <c r="I43" s="112"/>
      <c r="J43" s="112"/>
      <c r="K43" s="112"/>
      <c r="L43" s="112"/>
      <c r="M43" s="112"/>
      <c r="N43" s="112"/>
    </row>
    <row r="44" spans="1:16" ht="11" thickBot="1">
      <c r="A44" s="5" t="s">
        <v>253</v>
      </c>
      <c r="C44" s="68">
        <f>C$11+C$14</f>
        <v>2261.1543300000003</v>
      </c>
      <c r="E44" s="68">
        <f t="shared" ref="E44:N44" si="10">E$11+E$14</f>
        <v>3461.2</v>
      </c>
      <c r="F44" s="68">
        <f t="shared" si="10"/>
        <v>3624.89075</v>
      </c>
      <c r="G44" s="68">
        <f t="shared" si="10"/>
        <v>2805.1477500000001</v>
      </c>
      <c r="H44" s="68">
        <f t="shared" si="10"/>
        <v>2830.3916767226228</v>
      </c>
      <c r="I44" s="68">
        <f t="shared" si="10"/>
        <v>3617.8028376406883</v>
      </c>
      <c r="J44" s="68">
        <f t="shared" si="10"/>
        <v>3558.7769114229159</v>
      </c>
      <c r="K44" s="68">
        <f t="shared" si="10"/>
        <v>2779.3170544110185</v>
      </c>
      <c r="L44" s="68">
        <f t="shared" si="10"/>
        <v>3553.6960249719573</v>
      </c>
      <c r="M44" s="68">
        <f t="shared" si="10"/>
        <v>2772.6348758992308</v>
      </c>
      <c r="N44" s="68">
        <f t="shared" si="10"/>
        <v>3545.1844008246903</v>
      </c>
    </row>
    <row r="45" spans="1:16" ht="11" thickBot="1">
      <c r="A45" s="5" t="s">
        <v>232</v>
      </c>
      <c r="C45" s="68">
        <f>C$12</f>
        <v>575.43247999999994</v>
      </c>
      <c r="E45" s="68">
        <f t="shared" ref="E45:N45" si="11">E$12</f>
        <v>811</v>
      </c>
      <c r="F45" s="68">
        <f t="shared" si="11"/>
        <v>1177.6036799999999</v>
      </c>
      <c r="G45" s="68">
        <f t="shared" si="11"/>
        <v>1570.10051</v>
      </c>
      <c r="H45" s="68">
        <f t="shared" si="11"/>
        <v>2583.0855563831278</v>
      </c>
      <c r="I45" s="68">
        <f t="shared" si="11"/>
        <v>3313.8791489246705</v>
      </c>
      <c r="J45" s="68">
        <f t="shared" si="11"/>
        <v>4048.0263809247135</v>
      </c>
      <c r="K45" s="68">
        <f t="shared" si="11"/>
        <v>4689.2127613983694</v>
      </c>
      <c r="L45" s="68">
        <f t="shared" si="11"/>
        <v>5048.4152414856453</v>
      </c>
      <c r="M45" s="68">
        <f t="shared" si="11"/>
        <v>5089.8840199227352</v>
      </c>
      <c r="N45" s="68">
        <f t="shared" si="11"/>
        <v>5042.841834179444</v>
      </c>
    </row>
    <row r="46" spans="1:16" ht="11" thickBot="1">
      <c r="A46" s="5" t="s">
        <v>254</v>
      </c>
      <c r="C46" s="68">
        <f>C$13</f>
        <v>265.86953999999997</v>
      </c>
      <c r="E46" s="68">
        <f t="shared" ref="E46:N46" si="12">E$13</f>
        <v>444</v>
      </c>
      <c r="F46" s="68">
        <f t="shared" si="12"/>
        <v>423.01398</v>
      </c>
      <c r="G46" s="68">
        <f t="shared" si="12"/>
        <v>430.36113</v>
      </c>
      <c r="H46" s="68">
        <f t="shared" si="12"/>
        <v>466.07309000000004</v>
      </c>
      <c r="I46" s="68">
        <f t="shared" si="12"/>
        <v>472.27259999999995</v>
      </c>
      <c r="J46" s="68">
        <f t="shared" si="12"/>
        <v>483.98245000000003</v>
      </c>
      <c r="K46" s="68">
        <f t="shared" si="12"/>
        <v>485.12079999999997</v>
      </c>
      <c r="L46" s="68">
        <f t="shared" si="12"/>
        <v>488.29255999999998</v>
      </c>
      <c r="M46" s="68">
        <f t="shared" si="12"/>
        <v>489.91928000000001</v>
      </c>
      <c r="N46" s="68">
        <f t="shared" si="12"/>
        <v>491.18728999999996</v>
      </c>
    </row>
    <row r="47" spans="1:16" ht="11" thickBot="1">
      <c r="A47" s="5" t="s">
        <v>255</v>
      </c>
      <c r="C47" s="68">
        <f>Input!O19</f>
        <v>743.79704000000004</v>
      </c>
      <c r="E47" s="68">
        <f>Input!C$19</f>
        <v>850</v>
      </c>
      <c r="F47" s="68">
        <f>Input!D$19</f>
        <v>874.14088000000004</v>
      </c>
      <c r="G47" s="68">
        <f>Input!E$19</f>
        <v>1042.1700600000001</v>
      </c>
      <c r="H47" s="68">
        <f>Input!F$19</f>
        <v>1268.7092</v>
      </c>
      <c r="I47" s="68">
        <f>Input!G$19</f>
        <v>1763.1923700000002</v>
      </c>
      <c r="J47" s="68">
        <f>Input!H$19</f>
        <v>2105.6452100000001</v>
      </c>
      <c r="K47" s="68">
        <f>Input!I$19</f>
        <v>2732.6083409301214</v>
      </c>
      <c r="L47" s="68">
        <f>Input!J$19</f>
        <v>3117.0663983729273</v>
      </c>
      <c r="M47" s="68">
        <f>Input!K$19</f>
        <v>3537.6177452603988</v>
      </c>
      <c r="N47" s="68">
        <f>Input!L$19</f>
        <v>3629.3140686424081</v>
      </c>
    </row>
    <row r="48" spans="1:16" ht="11" thickBot="1">
      <c r="A48" s="108" t="s">
        <v>256</v>
      </c>
      <c r="C48" s="13">
        <f>SUM(C44:C47)</f>
        <v>3846.2533900000003</v>
      </c>
      <c r="E48" s="13">
        <f t="shared" ref="E48:N48" si="13">SUM(E44:E47)</f>
        <v>5566.2</v>
      </c>
      <c r="F48" s="13">
        <f t="shared" si="13"/>
        <v>6099.6492899999994</v>
      </c>
      <c r="G48" s="13">
        <f t="shared" si="13"/>
        <v>5847.7794500000009</v>
      </c>
      <c r="H48" s="13">
        <f t="shared" si="13"/>
        <v>7148.2595231057503</v>
      </c>
      <c r="I48" s="13">
        <f t="shared" si="13"/>
        <v>9167.1469565653588</v>
      </c>
      <c r="J48" s="13">
        <f t="shared" si="13"/>
        <v>10196.430952347629</v>
      </c>
      <c r="K48" s="13">
        <f t="shared" si="13"/>
        <v>10686.25895673951</v>
      </c>
      <c r="L48" s="13">
        <f t="shared" si="13"/>
        <v>12207.470224830529</v>
      </c>
      <c r="M48" s="13">
        <f t="shared" si="13"/>
        <v>11890.055921082365</v>
      </c>
      <c r="N48" s="13">
        <f t="shared" si="13"/>
        <v>12708.527593646542</v>
      </c>
    </row>
    <row r="49" spans="1:15" ht="5.25" customHeight="1" thickBot="1">
      <c r="A49" s="5"/>
      <c r="C49" s="68"/>
      <c r="E49" s="112"/>
      <c r="F49" s="112"/>
      <c r="G49" s="112"/>
      <c r="H49" s="112"/>
      <c r="I49" s="112"/>
      <c r="J49" s="112"/>
      <c r="K49" s="112"/>
      <c r="L49" s="112"/>
      <c r="M49" s="112"/>
      <c r="N49" s="112"/>
    </row>
    <row r="50" spans="1:15" ht="11" thickBot="1">
      <c r="A50" s="108" t="s">
        <v>257</v>
      </c>
      <c r="C50" s="13">
        <f>C42-C48</f>
        <v>764.84507199999962</v>
      </c>
      <c r="E50" s="13">
        <f t="shared" ref="E50:N50" si="14">E42-E48</f>
        <v>-633.39999999999964</v>
      </c>
      <c r="F50" s="13">
        <f t="shared" si="14"/>
        <v>-453.12441999999919</v>
      </c>
      <c r="G50" s="13">
        <f t="shared" si="14"/>
        <v>313.00942999999916</v>
      </c>
      <c r="H50" s="13">
        <f t="shared" si="14"/>
        <v>746.99369552353619</v>
      </c>
      <c r="I50" s="13">
        <f t="shared" si="14"/>
        <v>-88.188471309189481</v>
      </c>
      <c r="J50" s="13">
        <f t="shared" si="14"/>
        <v>1371.280793745389</v>
      </c>
      <c r="K50" s="13">
        <f t="shared" si="14"/>
        <v>3109.1864401944003</v>
      </c>
      <c r="L50" s="13">
        <f t="shared" si="14"/>
        <v>4363.4283515811403</v>
      </c>
      <c r="M50" s="13">
        <f t="shared" si="14"/>
        <v>3689.8311282303493</v>
      </c>
      <c r="N50" s="13">
        <f t="shared" si="14"/>
        <v>3501.1209931321027</v>
      </c>
    </row>
    <row r="51" spans="1:15" ht="5.25" customHeight="1" thickBot="1">
      <c r="A51" s="5"/>
      <c r="C51" s="68"/>
      <c r="E51" s="112"/>
      <c r="F51" s="112"/>
      <c r="G51" s="112"/>
      <c r="H51" s="112"/>
      <c r="I51" s="112"/>
      <c r="J51" s="112"/>
      <c r="K51" s="112"/>
      <c r="L51" s="112"/>
      <c r="M51" s="112"/>
      <c r="N51" s="112"/>
    </row>
    <row r="52" spans="1:15" ht="11" thickBot="1">
      <c r="A52" s="5" t="s">
        <v>258</v>
      </c>
      <c r="C52" s="113">
        <f>Input!O24</f>
        <v>95041.8349028472</v>
      </c>
      <c r="E52" s="68">
        <f>Input!C$24</f>
        <v>1416.5945640000014</v>
      </c>
      <c r="F52" s="68">
        <f>Input!D$24</f>
        <v>0</v>
      </c>
      <c r="G52" s="68">
        <f>Input!E$24</f>
        <v>2708.9053239851592</v>
      </c>
      <c r="H52" s="68">
        <f>Input!F$24</f>
        <v>0</v>
      </c>
      <c r="I52" s="68">
        <f>Input!G$24</f>
        <v>4333.8855219292418</v>
      </c>
      <c r="J52" s="68">
        <f>Input!H$24</f>
        <v>0</v>
      </c>
      <c r="K52" s="68">
        <f>Input!I$24</f>
        <v>5379.7127491664714</v>
      </c>
      <c r="L52" s="68">
        <f>Input!J$24</f>
        <v>0</v>
      </c>
      <c r="M52" s="68">
        <f>Input!K$24</f>
        <v>6147.8295224925978</v>
      </c>
      <c r="N52" s="68">
        <f>Input!L$24</f>
        <v>0</v>
      </c>
    </row>
    <row r="53" spans="1:15" ht="11" thickBot="1">
      <c r="A53" s="108" t="s">
        <v>259</v>
      </c>
      <c r="C53" s="13">
        <f>C50+C52</f>
        <v>95806.679974847197</v>
      </c>
      <c r="E53" s="13">
        <f t="shared" ref="E53:N53" si="15">E50+E52</f>
        <v>783.19456400000172</v>
      </c>
      <c r="F53" s="13">
        <f t="shared" si="15"/>
        <v>-453.12441999999919</v>
      </c>
      <c r="G53" s="13">
        <f t="shared" si="15"/>
        <v>3021.9147539851583</v>
      </c>
      <c r="H53" s="13">
        <f t="shared" si="15"/>
        <v>746.99369552353619</v>
      </c>
      <c r="I53" s="13">
        <f t="shared" si="15"/>
        <v>4245.6970506200523</v>
      </c>
      <c r="J53" s="13">
        <f t="shared" si="15"/>
        <v>1371.280793745389</v>
      </c>
      <c r="K53" s="13">
        <f t="shared" si="15"/>
        <v>8488.8991893608727</v>
      </c>
      <c r="L53" s="13">
        <f t="shared" si="15"/>
        <v>4363.4283515811403</v>
      </c>
      <c r="M53" s="13">
        <f t="shared" si="15"/>
        <v>9837.660650722948</v>
      </c>
      <c r="N53" s="13">
        <f t="shared" si="15"/>
        <v>3501.1209931321027</v>
      </c>
    </row>
    <row r="54" spans="1:15" ht="5.25" customHeight="1" thickBot="1">
      <c r="A54" s="5"/>
      <c r="C54" s="68"/>
      <c r="E54" s="112"/>
      <c r="F54" s="112"/>
      <c r="G54" s="112"/>
      <c r="H54" s="112"/>
      <c r="I54" s="112"/>
      <c r="J54" s="112"/>
      <c r="K54" s="112"/>
      <c r="L54" s="112"/>
      <c r="M54" s="112"/>
      <c r="N54" s="112"/>
    </row>
    <row r="55" spans="1:15" ht="11" thickBot="1">
      <c r="A55" s="108" t="s">
        <v>260</v>
      </c>
      <c r="C55" s="13">
        <f>C50+C47</f>
        <v>1508.6421119999995</v>
      </c>
      <c r="E55" s="13">
        <f t="shared" ref="E55:N55" si="16">E50+E47</f>
        <v>216.60000000000036</v>
      </c>
      <c r="F55" s="13">
        <f t="shared" si="16"/>
        <v>421.01646000000085</v>
      </c>
      <c r="G55" s="13">
        <f t="shared" si="16"/>
        <v>1355.1794899999993</v>
      </c>
      <c r="H55" s="13">
        <f t="shared" si="16"/>
        <v>2015.7028955235362</v>
      </c>
      <c r="I55" s="13">
        <f t="shared" si="16"/>
        <v>1675.0038986908107</v>
      </c>
      <c r="J55" s="13">
        <f t="shared" si="16"/>
        <v>3476.9260037453892</v>
      </c>
      <c r="K55" s="13">
        <f t="shared" si="16"/>
        <v>5841.7947811245213</v>
      </c>
      <c r="L55" s="13">
        <f t="shared" si="16"/>
        <v>7480.4947499540676</v>
      </c>
      <c r="M55" s="13">
        <f t="shared" si="16"/>
        <v>7227.4488734907482</v>
      </c>
      <c r="N55" s="13">
        <f t="shared" si="16"/>
        <v>7130.4350617745113</v>
      </c>
    </row>
    <row r="56" spans="1:15" ht="11" thickBot="1"/>
    <row r="57" spans="1:15" ht="11" thickBot="1">
      <c r="A57" s="104" t="s">
        <v>261</v>
      </c>
      <c r="B57" s="91"/>
      <c r="C57" s="91" t="s">
        <v>29</v>
      </c>
      <c r="D57" s="91"/>
      <c r="E57" s="91" t="s">
        <v>19</v>
      </c>
      <c r="F57" s="91" t="s">
        <v>20</v>
      </c>
      <c r="G57" s="91" t="s">
        <v>21</v>
      </c>
      <c r="H57" s="91" t="s">
        <v>22</v>
      </c>
      <c r="I57" s="91" t="s">
        <v>23</v>
      </c>
      <c r="J57" s="91" t="s">
        <v>24</v>
      </c>
      <c r="K57" s="91" t="s">
        <v>25</v>
      </c>
      <c r="L57" s="91" t="s">
        <v>26</v>
      </c>
      <c r="M57" s="91" t="s">
        <v>27</v>
      </c>
      <c r="N57" s="91" t="s">
        <v>28</v>
      </c>
    </row>
    <row r="58" spans="1:15" ht="11" thickBot="1">
      <c r="A58" s="106" t="s">
        <v>262</v>
      </c>
      <c r="C58" s="4"/>
      <c r="E58" s="4"/>
      <c r="F58" s="4"/>
      <c r="G58" s="4"/>
      <c r="H58" s="4"/>
      <c r="I58" s="4"/>
      <c r="J58" s="4"/>
      <c r="K58" s="4"/>
      <c r="L58" s="4"/>
      <c r="M58" s="4"/>
      <c r="N58" s="4"/>
      <c r="O58" s="105"/>
    </row>
    <row r="59" spans="1:15" ht="11" thickBot="1">
      <c r="A59" s="5" t="s">
        <v>263</v>
      </c>
      <c r="C59" s="68">
        <f>C$55</f>
        <v>1508.6421119999995</v>
      </c>
      <c r="E59" s="68">
        <f t="shared" ref="E59:N59" si="17">E$55</f>
        <v>216.60000000000036</v>
      </c>
      <c r="F59" s="68">
        <f t="shared" si="17"/>
        <v>421.01646000000085</v>
      </c>
      <c r="G59" s="68">
        <f t="shared" si="17"/>
        <v>1355.1794899999993</v>
      </c>
      <c r="H59" s="68">
        <f t="shared" si="17"/>
        <v>2015.7028955235362</v>
      </c>
      <c r="I59" s="68">
        <f t="shared" si="17"/>
        <v>1675.0038986908107</v>
      </c>
      <c r="J59" s="68">
        <f t="shared" si="17"/>
        <v>3476.9260037453892</v>
      </c>
      <c r="K59" s="68">
        <f t="shared" si="17"/>
        <v>5841.7947811245213</v>
      </c>
      <c r="L59" s="68">
        <f t="shared" si="17"/>
        <v>7480.4947499540676</v>
      </c>
      <c r="M59" s="68">
        <f t="shared" si="17"/>
        <v>7227.4488734907482</v>
      </c>
      <c r="N59" s="68">
        <f t="shared" si="17"/>
        <v>7130.4350617745113</v>
      </c>
    </row>
    <row r="60" spans="1:15" ht="11" thickBot="1">
      <c r="A60" s="5" t="s">
        <v>264</v>
      </c>
      <c r="C60" s="68"/>
      <c r="E60" s="68"/>
      <c r="F60" s="68"/>
      <c r="G60" s="68"/>
      <c r="H60" s="68"/>
      <c r="I60" s="68"/>
      <c r="J60" s="68"/>
      <c r="K60" s="68"/>
      <c r="L60" s="68"/>
      <c r="M60" s="68"/>
      <c r="N60" s="68"/>
    </row>
    <row r="61" spans="1:15" ht="11" thickBot="1">
      <c r="A61" s="108" t="s">
        <v>265</v>
      </c>
      <c r="C61" s="13">
        <f>SUM(C59:C60)</f>
        <v>1508.6421119999995</v>
      </c>
      <c r="E61" s="13">
        <f t="shared" ref="E61:N61" si="18">SUM(E59:E60)</f>
        <v>216.60000000000036</v>
      </c>
      <c r="F61" s="13">
        <f t="shared" si="18"/>
        <v>421.01646000000085</v>
      </c>
      <c r="G61" s="13">
        <f t="shared" si="18"/>
        <v>1355.1794899999993</v>
      </c>
      <c r="H61" s="13">
        <f t="shared" si="18"/>
        <v>2015.7028955235362</v>
      </c>
      <c r="I61" s="13">
        <f t="shared" si="18"/>
        <v>1675.0038986908107</v>
      </c>
      <c r="J61" s="13">
        <f t="shared" si="18"/>
        <v>3476.9260037453892</v>
      </c>
      <c r="K61" s="13">
        <f t="shared" si="18"/>
        <v>5841.7947811245213</v>
      </c>
      <c r="L61" s="13">
        <f t="shared" si="18"/>
        <v>7480.4947499540676</v>
      </c>
      <c r="M61" s="13">
        <f t="shared" si="18"/>
        <v>7227.4488734907482</v>
      </c>
      <c r="N61" s="13">
        <f t="shared" si="18"/>
        <v>7130.4350617745113</v>
      </c>
    </row>
    <row r="62" spans="1:15" ht="5.25" customHeight="1" thickBot="1">
      <c r="A62" s="5"/>
      <c r="C62" s="68"/>
      <c r="E62" s="112"/>
      <c r="F62" s="112"/>
      <c r="G62" s="112"/>
      <c r="H62" s="112"/>
      <c r="I62" s="112"/>
      <c r="J62" s="112"/>
      <c r="K62" s="112"/>
      <c r="L62" s="112"/>
      <c r="M62" s="112"/>
      <c r="N62" s="112"/>
    </row>
    <row r="63" spans="1:15" ht="11" thickBot="1">
      <c r="A63" s="106" t="s">
        <v>266</v>
      </c>
      <c r="C63" s="4"/>
      <c r="E63" s="4"/>
      <c r="F63" s="4"/>
      <c r="G63" s="4"/>
      <c r="H63" s="4"/>
      <c r="I63" s="4"/>
      <c r="J63" s="4"/>
      <c r="K63" s="4"/>
      <c r="L63" s="4"/>
      <c r="M63" s="4"/>
      <c r="N63" s="4"/>
      <c r="O63" s="105"/>
    </row>
    <row r="64" spans="1:15" ht="11" thickBot="1">
      <c r="A64" s="5" t="s">
        <v>264</v>
      </c>
      <c r="C64" s="68"/>
      <c r="E64" s="68"/>
      <c r="F64" s="68"/>
      <c r="G64" s="68"/>
      <c r="H64" s="68">
        <f t="shared" ref="H64" si="19">-H32</f>
        <v>-487.22690856293536</v>
      </c>
      <c r="I64" s="68"/>
      <c r="J64" s="68"/>
      <c r="K64" s="68"/>
      <c r="L64" s="68"/>
      <c r="M64" s="68"/>
      <c r="N64" s="68"/>
    </row>
    <row r="65" spans="1:15" ht="11" thickBot="1">
      <c r="A65" s="5" t="s">
        <v>170</v>
      </c>
      <c r="C65" s="68">
        <f>-SUM(C$28:C$30)</f>
        <v>-4348.2733100000005</v>
      </c>
      <c r="E65" s="68">
        <f t="shared" ref="E65:N65" si="20">-SUM(E$28:E$30)</f>
        <v>-3756.2</v>
      </c>
      <c r="F65" s="68">
        <f t="shared" si="20"/>
        <v>-4179.6540000000005</v>
      </c>
      <c r="G65" s="68">
        <f t="shared" si="20"/>
        <v>-12515.253000000001</v>
      </c>
      <c r="H65" s="68">
        <f t="shared" si="20"/>
        <v>-14473.3655</v>
      </c>
      <c r="I65" s="68">
        <f t="shared" si="20"/>
        <v>-14616.6515</v>
      </c>
      <c r="J65" s="68">
        <f t="shared" si="20"/>
        <v>-10059.053828828954</v>
      </c>
      <c r="K65" s="68">
        <f t="shared" si="20"/>
        <v>-7866.9617307676499</v>
      </c>
      <c r="L65" s="68">
        <f t="shared" si="20"/>
        <v>-8415.6808696729313</v>
      </c>
      <c r="M65" s="68">
        <f t="shared" si="20"/>
        <v>-4697.251850268658</v>
      </c>
      <c r="N65" s="68">
        <f t="shared" si="20"/>
        <v>-6161.2133796907547</v>
      </c>
    </row>
    <row r="66" spans="1:15" ht="11" thickBot="1">
      <c r="A66" s="108" t="s">
        <v>267</v>
      </c>
      <c r="C66" s="13">
        <f>SUM(C64:C65)</f>
        <v>-4348.2733100000005</v>
      </c>
      <c r="E66" s="13">
        <f t="shared" ref="E66:N66" si="21">SUM(E64:E65)</f>
        <v>-3756.2</v>
      </c>
      <c r="F66" s="13">
        <f t="shared" si="21"/>
        <v>-4179.6540000000005</v>
      </c>
      <c r="G66" s="13">
        <f t="shared" si="21"/>
        <v>-12515.253000000001</v>
      </c>
      <c r="H66" s="13">
        <f t="shared" si="21"/>
        <v>-14960.592408562936</v>
      </c>
      <c r="I66" s="13">
        <f t="shared" si="21"/>
        <v>-14616.6515</v>
      </c>
      <c r="J66" s="13">
        <f t="shared" si="21"/>
        <v>-10059.053828828954</v>
      </c>
      <c r="K66" s="13">
        <f t="shared" si="21"/>
        <v>-7866.9617307676499</v>
      </c>
      <c r="L66" s="13">
        <f t="shared" si="21"/>
        <v>-8415.6808696729313</v>
      </c>
      <c r="M66" s="13">
        <f t="shared" si="21"/>
        <v>-4697.251850268658</v>
      </c>
      <c r="N66" s="13">
        <f t="shared" si="21"/>
        <v>-6161.2133796907547</v>
      </c>
    </row>
    <row r="67" spans="1:15" ht="5.25" customHeight="1" thickBot="1">
      <c r="A67" s="5"/>
      <c r="C67" s="68"/>
      <c r="E67" s="112"/>
      <c r="F67" s="112"/>
      <c r="G67" s="112"/>
      <c r="H67" s="112"/>
      <c r="I67" s="112"/>
      <c r="J67" s="112"/>
      <c r="K67" s="112"/>
      <c r="L67" s="112"/>
      <c r="M67" s="112"/>
      <c r="N67" s="112"/>
    </row>
    <row r="68" spans="1:15" ht="11" thickBot="1">
      <c r="A68" s="106" t="s">
        <v>268</v>
      </c>
      <c r="C68" s="4"/>
      <c r="E68" s="4"/>
      <c r="F68" s="4"/>
      <c r="G68" s="4"/>
      <c r="H68" s="4"/>
      <c r="I68" s="4"/>
      <c r="J68" s="4"/>
      <c r="K68" s="4"/>
      <c r="L68" s="4"/>
      <c r="M68" s="4"/>
      <c r="N68" s="4"/>
      <c r="O68" s="105"/>
    </row>
    <row r="69" spans="1:15" ht="11" thickBot="1">
      <c r="A69" s="5" t="s">
        <v>269</v>
      </c>
      <c r="C69" s="68">
        <f>C$22-C$70</f>
        <v>-277.8</v>
      </c>
      <c r="E69" s="68">
        <f>E$22-E$70-E31</f>
        <v>3539.6</v>
      </c>
      <c r="F69" s="68">
        <f t="shared" ref="F69:N69" si="22">F$22-F$70-F31</f>
        <v>3758.6375600000001</v>
      </c>
      <c r="G69" s="68">
        <f t="shared" si="22"/>
        <v>11160.073550000001</v>
      </c>
      <c r="H69" s="68">
        <f t="shared" si="22"/>
        <v>12944.889513039399</v>
      </c>
      <c r="I69" s="68">
        <f t="shared" si="22"/>
        <v>12941.647601309189</v>
      </c>
      <c r="J69" s="68">
        <f t="shared" si="22"/>
        <v>6582.1278250835658</v>
      </c>
      <c r="K69" s="68">
        <f t="shared" si="22"/>
        <v>2025.1669496431291</v>
      </c>
      <c r="L69" s="68">
        <f t="shared" si="22"/>
        <v>935.18611971886367</v>
      </c>
      <c r="M69" s="68">
        <f t="shared" si="22"/>
        <v>-2530.1970232220924</v>
      </c>
      <c r="N69" s="68">
        <f t="shared" si="22"/>
        <v>-969.2216820837566</v>
      </c>
    </row>
    <row r="70" spans="1:15" ht="11" thickBot="1">
      <c r="A70" s="5" t="s">
        <v>270</v>
      </c>
      <c r="C70" s="68"/>
      <c r="E70" s="68"/>
      <c r="F70" s="68"/>
      <c r="G70" s="68"/>
      <c r="H70" s="68"/>
      <c r="I70" s="68"/>
      <c r="J70" s="68"/>
      <c r="K70" s="68"/>
      <c r="L70" s="68"/>
      <c r="M70" s="68"/>
      <c r="N70" s="68"/>
    </row>
    <row r="71" spans="1:15" ht="11" thickBot="1">
      <c r="A71" s="108" t="s">
        <v>271</v>
      </c>
      <c r="C71" s="13">
        <f>SUM(C69:C70)</f>
        <v>-277.8</v>
      </c>
      <c r="E71" s="13">
        <f t="shared" ref="E71:N71" si="23">SUM(E69:E70)</f>
        <v>3539.6</v>
      </c>
      <c r="F71" s="13">
        <f t="shared" si="23"/>
        <v>3758.6375600000001</v>
      </c>
      <c r="G71" s="13">
        <f t="shared" si="23"/>
        <v>11160.073550000001</v>
      </c>
      <c r="H71" s="13">
        <f t="shared" si="23"/>
        <v>12944.889513039399</v>
      </c>
      <c r="I71" s="13">
        <f t="shared" si="23"/>
        <v>12941.647601309189</v>
      </c>
      <c r="J71" s="13">
        <f t="shared" si="23"/>
        <v>6582.1278250835658</v>
      </c>
      <c r="K71" s="13">
        <f t="shared" si="23"/>
        <v>2025.1669496431291</v>
      </c>
      <c r="L71" s="13">
        <f t="shared" si="23"/>
        <v>935.18611971886367</v>
      </c>
      <c r="M71" s="13">
        <f t="shared" si="23"/>
        <v>-2530.1970232220924</v>
      </c>
      <c r="N71" s="13">
        <f t="shared" si="23"/>
        <v>-969.2216820837566</v>
      </c>
    </row>
    <row r="72" spans="1:15" ht="5.25" customHeight="1" thickBot="1">
      <c r="A72" s="5"/>
      <c r="C72" s="112"/>
      <c r="E72" s="112"/>
      <c r="F72" s="112"/>
      <c r="G72" s="112"/>
      <c r="H72" s="112"/>
      <c r="I72" s="112"/>
      <c r="J72" s="112"/>
      <c r="K72" s="112"/>
      <c r="L72" s="112"/>
      <c r="M72" s="112"/>
      <c r="N72" s="112"/>
    </row>
    <row r="73" spans="1:15" ht="11" thickBot="1">
      <c r="A73" s="108" t="s">
        <v>272</v>
      </c>
      <c r="C73" s="13">
        <f>C61+C66+C71</f>
        <v>-3117.4311980000011</v>
      </c>
      <c r="E73" s="13">
        <f t="shared" ref="E73:N73" si="24">E61+E66+E71</f>
        <v>0</v>
      </c>
      <c r="F73" s="13">
        <f t="shared" si="24"/>
        <v>2.0000000404252205E-5</v>
      </c>
      <c r="G73" s="13">
        <f t="shared" si="24"/>
        <v>3.9999998989515007E-5</v>
      </c>
      <c r="H73" s="13">
        <f t="shared" si="24"/>
        <v>0</v>
      </c>
      <c r="I73" s="13">
        <f t="shared" si="24"/>
        <v>0</v>
      </c>
      <c r="J73" s="13">
        <f t="shared" si="24"/>
        <v>0</v>
      </c>
      <c r="K73" s="13">
        <f t="shared" si="24"/>
        <v>0</v>
      </c>
      <c r="L73" s="13">
        <f t="shared" si="24"/>
        <v>0</v>
      </c>
      <c r="M73" s="13">
        <f t="shared" si="24"/>
        <v>0</v>
      </c>
      <c r="N73" s="13">
        <f t="shared" si="24"/>
        <v>0</v>
      </c>
    </row>
    <row r="74" spans="1:15" ht="5.25" customHeight="1" thickBot="1">
      <c r="A74" s="5"/>
      <c r="C74" s="112"/>
      <c r="E74" s="112"/>
      <c r="F74" s="112"/>
      <c r="G74" s="112"/>
      <c r="H74" s="112"/>
      <c r="I74" s="112"/>
      <c r="J74" s="112"/>
      <c r="K74" s="112"/>
      <c r="L74" s="112"/>
      <c r="M74" s="112"/>
      <c r="N74" s="112"/>
    </row>
    <row r="75" spans="1:15" ht="11" thickBot="1">
      <c r="A75" s="108" t="s">
        <v>273</v>
      </c>
      <c r="C75" s="13">
        <f>C76-C73</f>
        <v>3117.4311980000011</v>
      </c>
      <c r="E75" s="13">
        <f>C76</f>
        <v>0</v>
      </c>
      <c r="F75" s="13">
        <f t="shared" ref="F75:N75" si="25">E76</f>
        <v>0</v>
      </c>
      <c r="G75" s="13">
        <f t="shared" si="25"/>
        <v>2.0000000404252205E-5</v>
      </c>
      <c r="H75" s="13">
        <f t="shared" si="25"/>
        <v>5.9999999393767212E-5</v>
      </c>
      <c r="I75" s="13">
        <f t="shared" si="25"/>
        <v>5.9999999393767212E-5</v>
      </c>
      <c r="J75" s="13">
        <f t="shared" si="25"/>
        <v>5.9999999393767212E-5</v>
      </c>
      <c r="K75" s="13">
        <f t="shared" si="25"/>
        <v>5.9999999393767212E-5</v>
      </c>
      <c r="L75" s="13">
        <f t="shared" si="25"/>
        <v>5.9999999393767212E-5</v>
      </c>
      <c r="M75" s="13">
        <f t="shared" si="25"/>
        <v>5.9999999393767212E-5</v>
      </c>
      <c r="N75" s="13">
        <f t="shared" si="25"/>
        <v>5.9999999393767212E-5</v>
      </c>
    </row>
    <row r="76" spans="1:15" ht="11" thickBot="1">
      <c r="A76" s="108" t="s">
        <v>274</v>
      </c>
      <c r="C76" s="13">
        <f>C80</f>
        <v>0</v>
      </c>
      <c r="E76" s="13">
        <f t="shared" ref="E76:N76" si="26">E73+E75</f>
        <v>0</v>
      </c>
      <c r="F76" s="13">
        <f t="shared" si="26"/>
        <v>2.0000000404252205E-5</v>
      </c>
      <c r="G76" s="13">
        <f t="shared" si="26"/>
        <v>5.9999999393767212E-5</v>
      </c>
      <c r="H76" s="13">
        <f t="shared" si="26"/>
        <v>5.9999999393767212E-5</v>
      </c>
      <c r="I76" s="13">
        <f t="shared" si="26"/>
        <v>5.9999999393767212E-5</v>
      </c>
      <c r="J76" s="13">
        <f t="shared" si="26"/>
        <v>5.9999999393767212E-5</v>
      </c>
      <c r="K76" s="13">
        <f t="shared" si="26"/>
        <v>5.9999999393767212E-5</v>
      </c>
      <c r="L76" s="13">
        <f t="shared" si="26"/>
        <v>5.9999999393767212E-5</v>
      </c>
      <c r="M76" s="13">
        <f t="shared" si="26"/>
        <v>5.9999999393767212E-5</v>
      </c>
      <c r="N76" s="13">
        <f t="shared" si="26"/>
        <v>5.9999999393767212E-5</v>
      </c>
    </row>
    <row r="77" spans="1:15" ht="11" thickBot="1"/>
    <row r="78" spans="1:15" ht="11" thickBot="1">
      <c r="A78" s="104" t="s">
        <v>275</v>
      </c>
      <c r="B78" s="91"/>
      <c r="C78" s="91" t="s">
        <v>29</v>
      </c>
      <c r="D78" s="91"/>
      <c r="E78" s="91" t="s">
        <v>19</v>
      </c>
      <c r="F78" s="91" t="s">
        <v>20</v>
      </c>
      <c r="G78" s="91" t="s">
        <v>21</v>
      </c>
      <c r="H78" s="91" t="s">
        <v>22</v>
      </c>
      <c r="I78" s="91" t="s">
        <v>23</v>
      </c>
      <c r="J78" s="91" t="s">
        <v>24</v>
      </c>
      <c r="K78" s="91" t="s">
        <v>25</v>
      </c>
      <c r="L78" s="91" t="s">
        <v>26</v>
      </c>
      <c r="M78" s="91" t="s">
        <v>27</v>
      </c>
      <c r="N78" s="91" t="s">
        <v>28</v>
      </c>
      <c r="O78" s="105"/>
    </row>
    <row r="79" spans="1:15" ht="11" thickBot="1">
      <c r="A79" s="106" t="s">
        <v>276</v>
      </c>
      <c r="C79" s="4"/>
      <c r="E79" s="4"/>
      <c r="F79" s="4"/>
      <c r="G79" s="4"/>
      <c r="H79" s="4"/>
      <c r="I79" s="4"/>
      <c r="J79" s="4"/>
      <c r="K79" s="4"/>
      <c r="L79" s="4"/>
      <c r="M79" s="4"/>
      <c r="N79" s="4"/>
      <c r="O79" s="105"/>
    </row>
    <row r="80" spans="1:15" ht="11" thickBot="1">
      <c r="A80" s="5" t="s">
        <v>277</v>
      </c>
      <c r="C80" s="68">
        <f>Input!$D$9</f>
        <v>0</v>
      </c>
      <c r="E80" s="68">
        <f t="shared" ref="E80:N80" si="27">E76</f>
        <v>0</v>
      </c>
      <c r="F80" s="68">
        <f t="shared" si="27"/>
        <v>2.0000000404252205E-5</v>
      </c>
      <c r="G80" s="68">
        <f t="shared" si="27"/>
        <v>5.9999999393767212E-5</v>
      </c>
      <c r="H80" s="68">
        <f t="shared" si="27"/>
        <v>5.9999999393767212E-5</v>
      </c>
      <c r="I80" s="68">
        <f t="shared" si="27"/>
        <v>5.9999999393767212E-5</v>
      </c>
      <c r="J80" s="68">
        <f t="shared" si="27"/>
        <v>5.9999999393767212E-5</v>
      </c>
      <c r="K80" s="68">
        <f t="shared" si="27"/>
        <v>5.9999999393767212E-5</v>
      </c>
      <c r="L80" s="68">
        <f t="shared" si="27"/>
        <v>5.9999999393767212E-5</v>
      </c>
      <c r="M80" s="68">
        <f t="shared" si="27"/>
        <v>5.9999999393767212E-5</v>
      </c>
      <c r="N80" s="68">
        <f t="shared" si="27"/>
        <v>5.9999999393767212E-5</v>
      </c>
    </row>
    <row r="81" spans="1:15" ht="11" thickBot="1">
      <c r="A81" s="5" t="s">
        <v>278</v>
      </c>
      <c r="C81" s="68"/>
      <c r="E81" s="68"/>
      <c r="F81" s="68"/>
      <c r="G81" s="68"/>
      <c r="H81" s="68"/>
      <c r="I81" s="68"/>
      <c r="J81" s="68"/>
      <c r="K81" s="68"/>
      <c r="L81" s="68"/>
      <c r="M81" s="68"/>
      <c r="N81" s="68"/>
    </row>
    <row r="82" spans="1:15" ht="11" thickBot="1">
      <c r="A82" s="5" t="s">
        <v>279</v>
      </c>
      <c r="C82" s="68">
        <f>Input!$D$7-Input!$D$8</f>
        <v>50592.663</v>
      </c>
      <c r="E82" s="68">
        <f>$C$82-E$47+SUM(E$28:E$30)+E$52</f>
        <v>54915.457563999997</v>
      </c>
      <c r="F82" s="68">
        <f t="shared" ref="F82:N82" si="28">E$82-F$47+SUM(F$28:F$30)+F$52</f>
        <v>58220.970684</v>
      </c>
      <c r="G82" s="68">
        <f t="shared" si="28"/>
        <v>72402.958947985171</v>
      </c>
      <c r="H82" s="68">
        <f t="shared" si="28"/>
        <v>85607.615247985173</v>
      </c>
      <c r="I82" s="68">
        <f t="shared" si="28"/>
        <v>102794.95989991442</v>
      </c>
      <c r="J82" s="68">
        <f t="shared" si="28"/>
        <v>110748.36851874337</v>
      </c>
      <c r="K82" s="68">
        <f t="shared" si="28"/>
        <v>121262.43465774738</v>
      </c>
      <c r="L82" s="68">
        <f t="shared" si="28"/>
        <v>126561.04912904737</v>
      </c>
      <c r="M82" s="68">
        <f t="shared" si="28"/>
        <v>133868.51275654824</v>
      </c>
      <c r="N82" s="68">
        <f t="shared" si="28"/>
        <v>136400.4120675966</v>
      </c>
    </row>
    <row r="83" spans="1:15" ht="11" thickBot="1">
      <c r="A83" s="5" t="s">
        <v>280</v>
      </c>
      <c r="C83" s="68"/>
      <c r="E83" s="68">
        <f>C83-E64</f>
        <v>0</v>
      </c>
      <c r="F83" s="68">
        <f>E83-F64</f>
        <v>0</v>
      </c>
      <c r="G83" s="68">
        <f t="shared" ref="G83:N83" si="29">F83-G64</f>
        <v>0</v>
      </c>
      <c r="H83" s="68">
        <f t="shared" si="29"/>
        <v>487.22690856293536</v>
      </c>
      <c r="I83" s="68">
        <f t="shared" si="29"/>
        <v>487.22690856293536</v>
      </c>
      <c r="J83" s="68">
        <f t="shared" si="29"/>
        <v>487.22690856293536</v>
      </c>
      <c r="K83" s="68">
        <f t="shared" si="29"/>
        <v>487.22690856293536</v>
      </c>
      <c r="L83" s="68">
        <f t="shared" si="29"/>
        <v>487.22690856293536</v>
      </c>
      <c r="M83" s="68">
        <f t="shared" si="29"/>
        <v>487.22690856293536</v>
      </c>
      <c r="N83" s="68">
        <f t="shared" si="29"/>
        <v>487.22690856293536</v>
      </c>
    </row>
    <row r="84" spans="1:15" ht="11" thickBot="1">
      <c r="A84" s="108" t="s">
        <v>281</v>
      </c>
      <c r="C84" s="13">
        <f>SUM(C80:C83)</f>
        <v>50592.663</v>
      </c>
      <c r="E84" s="13">
        <f t="shared" ref="E84:N84" si="30">SUM(E80:E83)</f>
        <v>54915.457563999997</v>
      </c>
      <c r="F84" s="13">
        <f t="shared" si="30"/>
        <v>58220.970703999999</v>
      </c>
      <c r="G84" s="13">
        <f t="shared" si="30"/>
        <v>72402.959007985177</v>
      </c>
      <c r="H84" s="13">
        <f t="shared" si="30"/>
        <v>86094.842216548117</v>
      </c>
      <c r="I84" s="13">
        <f t="shared" si="30"/>
        <v>103282.18686847737</v>
      </c>
      <c r="J84" s="13">
        <f t="shared" si="30"/>
        <v>111235.59548730632</v>
      </c>
      <c r="K84" s="13">
        <f t="shared" si="30"/>
        <v>121749.66162631032</v>
      </c>
      <c r="L84" s="13">
        <f t="shared" si="30"/>
        <v>127048.27609761032</v>
      </c>
      <c r="M84" s="13">
        <f t="shared" si="30"/>
        <v>134355.73972511117</v>
      </c>
      <c r="N84" s="13">
        <f t="shared" si="30"/>
        <v>136887.63903615953</v>
      </c>
    </row>
    <row r="85" spans="1:15" ht="5.25" customHeight="1" thickBot="1">
      <c r="A85" s="5"/>
      <c r="C85" s="112"/>
      <c r="E85" s="112"/>
      <c r="F85" s="112"/>
      <c r="G85" s="112"/>
      <c r="H85" s="112"/>
      <c r="I85" s="112"/>
      <c r="J85" s="112"/>
      <c r="K85" s="112"/>
      <c r="L85" s="112"/>
      <c r="M85" s="112"/>
      <c r="N85" s="112"/>
    </row>
    <row r="86" spans="1:15" ht="11" thickBot="1">
      <c r="A86" s="106" t="s">
        <v>282</v>
      </c>
      <c r="C86" s="4"/>
      <c r="E86" s="4"/>
      <c r="F86" s="4"/>
      <c r="G86" s="4"/>
      <c r="H86" s="4"/>
      <c r="I86" s="4"/>
      <c r="J86" s="4"/>
      <c r="K86" s="4"/>
      <c r="L86" s="4"/>
      <c r="M86" s="4"/>
      <c r="N86" s="4"/>
      <c r="O86" s="105"/>
    </row>
    <row r="87" spans="1:15" ht="11" thickBot="1">
      <c r="A87" s="5" t="s">
        <v>283</v>
      </c>
      <c r="C87" s="68"/>
      <c r="E87" s="68"/>
      <c r="F87" s="68"/>
      <c r="G87" s="68"/>
      <c r="H87" s="68"/>
      <c r="I87" s="68"/>
      <c r="J87" s="68"/>
      <c r="K87" s="68"/>
      <c r="L87" s="68"/>
      <c r="M87" s="68"/>
      <c r="N87" s="68"/>
    </row>
    <row r="88" spans="1:15" ht="11" thickBot="1">
      <c r="A88" s="5" t="s">
        <v>284</v>
      </c>
      <c r="C88" s="68"/>
      <c r="E88" s="68"/>
      <c r="F88" s="68"/>
      <c r="G88" s="68"/>
      <c r="H88" s="68"/>
      <c r="I88" s="68"/>
      <c r="J88" s="68"/>
      <c r="K88" s="68"/>
      <c r="L88" s="68"/>
      <c r="M88" s="68"/>
      <c r="N88" s="68"/>
    </row>
    <row r="89" spans="1:15" ht="11" thickBot="1">
      <c r="A89" s="5" t="s">
        <v>285</v>
      </c>
      <c r="C89" s="68">
        <f>Input!$D$10-C$87</f>
        <v>19775.2</v>
      </c>
      <c r="E89" s="68">
        <f>$C$89+E69+E70</f>
        <v>23314.799999999999</v>
      </c>
      <c r="F89" s="68">
        <f t="shared" ref="F89:N89" si="31">E$89+F69+F70</f>
        <v>27073.437559999998</v>
      </c>
      <c r="G89" s="68">
        <f t="shared" si="31"/>
        <v>38233.511109999999</v>
      </c>
      <c r="H89" s="68">
        <f t="shared" si="31"/>
        <v>51178.400623039401</v>
      </c>
      <c r="I89" s="68">
        <f t="shared" si="31"/>
        <v>64120.048224348589</v>
      </c>
      <c r="J89" s="68">
        <f t="shared" si="31"/>
        <v>70702.17604943215</v>
      </c>
      <c r="K89" s="68">
        <f t="shared" si="31"/>
        <v>72727.342999075277</v>
      </c>
      <c r="L89" s="68">
        <f t="shared" si="31"/>
        <v>73662.529118794148</v>
      </c>
      <c r="M89" s="68">
        <f t="shared" si="31"/>
        <v>71132.332095572056</v>
      </c>
      <c r="N89" s="68">
        <f t="shared" si="31"/>
        <v>70163.110413488292</v>
      </c>
    </row>
    <row r="90" spans="1:15" ht="11" thickBot="1">
      <c r="A90" s="5" t="s">
        <v>286</v>
      </c>
      <c r="C90" s="68"/>
      <c r="E90" s="68"/>
      <c r="F90" s="68"/>
      <c r="G90" s="68"/>
      <c r="H90" s="68"/>
      <c r="I90" s="68"/>
      <c r="J90" s="68"/>
      <c r="K90" s="68"/>
      <c r="L90" s="68"/>
      <c r="M90" s="68"/>
      <c r="N90" s="68"/>
    </row>
    <row r="91" spans="1:15" ht="11" thickBot="1">
      <c r="A91" s="108" t="s">
        <v>287</v>
      </c>
      <c r="C91" s="13">
        <f>SUM(C87:C90)</f>
        <v>19775.2</v>
      </c>
      <c r="E91" s="13">
        <f t="shared" ref="E91:N91" si="32">SUM(E87:E90)</f>
        <v>23314.799999999999</v>
      </c>
      <c r="F91" s="13">
        <f t="shared" si="32"/>
        <v>27073.437559999998</v>
      </c>
      <c r="G91" s="13">
        <f t="shared" si="32"/>
        <v>38233.511109999999</v>
      </c>
      <c r="H91" s="13">
        <f t="shared" si="32"/>
        <v>51178.400623039401</v>
      </c>
      <c r="I91" s="13">
        <f t="shared" si="32"/>
        <v>64120.048224348589</v>
      </c>
      <c r="J91" s="13">
        <f t="shared" si="32"/>
        <v>70702.17604943215</v>
      </c>
      <c r="K91" s="13">
        <f t="shared" si="32"/>
        <v>72727.342999075277</v>
      </c>
      <c r="L91" s="13">
        <f t="shared" si="32"/>
        <v>73662.529118794148</v>
      </c>
      <c r="M91" s="13">
        <f t="shared" si="32"/>
        <v>71132.332095572056</v>
      </c>
      <c r="N91" s="13">
        <f t="shared" si="32"/>
        <v>70163.110413488292</v>
      </c>
    </row>
    <row r="92" spans="1:15" ht="5.25" customHeight="1" thickBot="1">
      <c r="A92" s="5"/>
      <c r="C92" s="68"/>
      <c r="E92" s="68"/>
      <c r="F92" s="112"/>
      <c r="G92" s="112"/>
      <c r="H92" s="112"/>
      <c r="I92" s="112"/>
      <c r="J92" s="112"/>
      <c r="K92" s="112"/>
      <c r="L92" s="112"/>
      <c r="M92" s="112"/>
      <c r="N92" s="112"/>
    </row>
    <row r="93" spans="1:15" ht="11" thickBot="1">
      <c r="A93" s="108" t="s">
        <v>288</v>
      </c>
      <c r="C93" s="13">
        <f>C84-C91</f>
        <v>30817.463</v>
      </c>
      <c r="E93" s="13">
        <f t="shared" ref="E93:N93" si="33">E84-E91</f>
        <v>31600.657563999997</v>
      </c>
      <c r="F93" s="13">
        <f t="shared" si="33"/>
        <v>31147.533144000001</v>
      </c>
      <c r="G93" s="13">
        <f t="shared" si="33"/>
        <v>34169.447897985177</v>
      </c>
      <c r="H93" s="13">
        <f t="shared" si="33"/>
        <v>34916.441593508716</v>
      </c>
      <c r="I93" s="13">
        <f t="shared" si="33"/>
        <v>39162.138644128776</v>
      </c>
      <c r="J93" s="13">
        <f t="shared" si="33"/>
        <v>40533.419437874167</v>
      </c>
      <c r="K93" s="13">
        <f t="shared" si="33"/>
        <v>49022.318627235043</v>
      </c>
      <c r="L93" s="13">
        <f t="shared" si="33"/>
        <v>53385.746978816169</v>
      </c>
      <c r="M93" s="13">
        <f t="shared" si="33"/>
        <v>63223.407629539113</v>
      </c>
      <c r="N93" s="13">
        <f t="shared" si="33"/>
        <v>66724.528622671234</v>
      </c>
    </row>
    <row r="94" spans="1:15" ht="5.25" customHeight="1" thickBot="1">
      <c r="A94" s="5"/>
      <c r="C94" s="112"/>
      <c r="E94" s="112"/>
      <c r="F94" s="112"/>
      <c r="G94" s="112"/>
      <c r="H94" s="112"/>
      <c r="I94" s="112"/>
      <c r="J94" s="112"/>
      <c r="K94" s="112"/>
      <c r="L94" s="112"/>
      <c r="M94" s="112"/>
      <c r="N94" s="112"/>
    </row>
    <row r="95" spans="1:15" ht="11" thickBot="1">
      <c r="A95" s="106" t="s">
        <v>289</v>
      </c>
      <c r="C95" s="4"/>
      <c r="E95" s="4"/>
      <c r="F95" s="4"/>
      <c r="G95" s="4"/>
      <c r="H95" s="4"/>
      <c r="I95" s="4"/>
      <c r="J95" s="4"/>
      <c r="K95" s="4"/>
      <c r="L95" s="4"/>
      <c r="M95" s="4"/>
      <c r="N95" s="4"/>
      <c r="O95" s="105"/>
    </row>
    <row r="96" spans="1:15" ht="11" thickBot="1">
      <c r="A96" s="5" t="s">
        <v>290</v>
      </c>
      <c r="C96" s="68">
        <f>Input!$D$12</f>
        <v>0</v>
      </c>
      <c r="E96" s="68">
        <f>$C$96+E$52</f>
        <v>1416.5945640000014</v>
      </c>
      <c r="F96" s="68">
        <f t="shared" ref="F96:N96" si="34">E$96+F$52</f>
        <v>1416.5945640000014</v>
      </c>
      <c r="G96" s="68">
        <f t="shared" si="34"/>
        <v>4125.499887985161</v>
      </c>
      <c r="H96" s="68">
        <f t="shared" si="34"/>
        <v>4125.499887985161</v>
      </c>
      <c r="I96" s="68">
        <f t="shared" si="34"/>
        <v>8459.3854099144028</v>
      </c>
      <c r="J96" s="68">
        <f t="shared" si="34"/>
        <v>8459.3854099144028</v>
      </c>
      <c r="K96" s="68">
        <f t="shared" si="34"/>
        <v>13839.098159080873</v>
      </c>
      <c r="L96" s="68">
        <f t="shared" si="34"/>
        <v>13839.098159080873</v>
      </c>
      <c r="M96" s="68">
        <f t="shared" si="34"/>
        <v>19986.92768157347</v>
      </c>
      <c r="N96" s="68">
        <f t="shared" si="34"/>
        <v>19986.92768157347</v>
      </c>
    </row>
    <row r="97" spans="1:14" ht="11" thickBot="1">
      <c r="A97" s="5" t="s">
        <v>291</v>
      </c>
      <c r="C97" s="68">
        <f>$C$93-$C$96</f>
        <v>30817.463</v>
      </c>
      <c r="E97" s="68">
        <f>$C$97+E$50</f>
        <v>30184.063000000002</v>
      </c>
      <c r="F97" s="68">
        <f t="shared" ref="F97:N97" si="35">E$97+F$50</f>
        <v>29730.938580000002</v>
      </c>
      <c r="G97" s="68">
        <f t="shared" si="35"/>
        <v>30043.94801</v>
      </c>
      <c r="H97" s="68">
        <f t="shared" si="35"/>
        <v>30790.941705523535</v>
      </c>
      <c r="I97" s="68">
        <f t="shared" si="35"/>
        <v>30702.753234214346</v>
      </c>
      <c r="J97" s="68">
        <f t="shared" si="35"/>
        <v>32074.034027959737</v>
      </c>
      <c r="K97" s="68">
        <f t="shared" si="35"/>
        <v>35183.220468154133</v>
      </c>
      <c r="L97" s="68">
        <f t="shared" si="35"/>
        <v>39546.648819735274</v>
      </c>
      <c r="M97" s="68">
        <f t="shared" si="35"/>
        <v>43236.479947965621</v>
      </c>
      <c r="N97" s="68">
        <f t="shared" si="35"/>
        <v>46737.600941097728</v>
      </c>
    </row>
    <row r="98" spans="1:14" ht="11" thickBot="1">
      <c r="A98" s="108" t="s">
        <v>292</v>
      </c>
      <c r="C98" s="13">
        <f>SUM(C96:C97)</f>
        <v>30817.463</v>
      </c>
      <c r="E98" s="13">
        <f t="shared" ref="E98:N98" si="36">SUM(E96:E97)</f>
        <v>31600.657564000005</v>
      </c>
      <c r="F98" s="13">
        <f t="shared" si="36"/>
        <v>31147.533144000005</v>
      </c>
      <c r="G98" s="13">
        <f t="shared" si="36"/>
        <v>34169.447897985163</v>
      </c>
      <c r="H98" s="13">
        <f t="shared" si="36"/>
        <v>34916.441593508694</v>
      </c>
      <c r="I98" s="13">
        <f t="shared" si="36"/>
        <v>39162.138644128747</v>
      </c>
      <c r="J98" s="13">
        <f t="shared" si="36"/>
        <v>40533.419437874138</v>
      </c>
      <c r="K98" s="13">
        <f t="shared" si="36"/>
        <v>49022.318627235007</v>
      </c>
      <c r="L98" s="13">
        <f t="shared" si="36"/>
        <v>53385.746978816147</v>
      </c>
      <c r="M98" s="13">
        <f t="shared" si="36"/>
        <v>63223.407629539091</v>
      </c>
      <c r="N98" s="13">
        <f t="shared" si="36"/>
        <v>66724.528622671205</v>
      </c>
    </row>
  </sheetData>
  <pageMargins left="0.7" right="0.7" top="0.75" bottom="0.75" header="0.3" footer="0.3"/>
  <pageSetup paperSize="8"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7B018-3C21-4D99-8EA3-BCB2EC00CA9D}">
  <sheetPr codeName="Sheet32">
    <pageSetUpPr fitToPage="1"/>
  </sheetPr>
  <dimension ref="A1:P98"/>
  <sheetViews>
    <sheetView workbookViewId="0">
      <selection activeCell="A108" sqref="A108"/>
    </sheetView>
  </sheetViews>
  <sheetFormatPr defaultColWidth="6.6328125" defaultRowHeight="10.5"/>
  <cols>
    <col min="1" max="1" width="67.6328125" style="1" customWidth="1"/>
    <col min="2" max="2" width="1.54296875" style="1" customWidth="1"/>
    <col min="3" max="3" width="12.7265625" style="1" customWidth="1"/>
    <col min="4" max="4" width="1.90625" style="1" customWidth="1"/>
    <col min="5" max="14" width="12.7265625" style="1" customWidth="1"/>
    <col min="15" max="16" width="9.54296875" style="1" customWidth="1"/>
    <col min="17" max="17" width="6.6328125" style="1"/>
    <col min="18" max="19" width="9.54296875" style="1" customWidth="1"/>
    <col min="20" max="16384" width="6.6328125" style="1"/>
  </cols>
  <sheetData>
    <row r="1" spans="1:16" ht="11" thickBot="1">
      <c r="A1" s="104" t="s">
        <v>222</v>
      </c>
      <c r="B1" s="91"/>
      <c r="C1" s="91" t="s">
        <v>29</v>
      </c>
      <c r="D1" s="91"/>
      <c r="E1" s="91" t="s">
        <v>19</v>
      </c>
      <c r="F1" s="91" t="s">
        <v>20</v>
      </c>
      <c r="G1" s="91" t="s">
        <v>21</v>
      </c>
      <c r="H1" s="91" t="s">
        <v>22</v>
      </c>
      <c r="I1" s="91" t="s">
        <v>23</v>
      </c>
      <c r="J1" s="91" t="s">
        <v>24</v>
      </c>
      <c r="K1" s="91" t="s">
        <v>25</v>
      </c>
      <c r="L1" s="91" t="s">
        <v>26</v>
      </c>
      <c r="M1" s="91" t="s">
        <v>27</v>
      </c>
      <c r="N1" s="91" t="s">
        <v>28</v>
      </c>
      <c r="O1" s="105"/>
      <c r="P1" s="91" t="s">
        <v>158</v>
      </c>
    </row>
    <row r="2" spans="1:16" ht="11" thickBot="1">
      <c r="A2" s="106" t="s">
        <v>223</v>
      </c>
      <c r="C2" s="4"/>
      <c r="E2" s="4"/>
      <c r="F2" s="4"/>
      <c r="G2" s="4"/>
      <c r="H2" s="4"/>
      <c r="I2" s="4"/>
      <c r="J2" s="4"/>
      <c r="K2" s="4"/>
      <c r="L2" s="4"/>
      <c r="M2" s="4"/>
      <c r="N2" s="4"/>
      <c r="O2" s="105"/>
      <c r="P2" s="4"/>
    </row>
    <row r="3" spans="1:16" ht="11" thickBot="1">
      <c r="A3" s="5" t="s">
        <v>224</v>
      </c>
      <c r="C3" s="113">
        <v>461.45194043359157</v>
      </c>
      <c r="E3" s="113">
        <v>87</v>
      </c>
      <c r="F3" s="113">
        <v>58.42192</v>
      </c>
      <c r="G3" s="113">
        <v>59.493499999999997</v>
      </c>
      <c r="H3" s="113">
        <v>0</v>
      </c>
      <c r="I3" s="113">
        <v>0</v>
      </c>
      <c r="J3" s="113">
        <v>0</v>
      </c>
      <c r="K3" s="113">
        <v>0</v>
      </c>
      <c r="L3" s="113">
        <v>0</v>
      </c>
      <c r="M3" s="113">
        <v>0</v>
      </c>
      <c r="N3" s="113">
        <v>0</v>
      </c>
      <c r="P3" s="107">
        <f>SUM(E3:N3)</f>
        <v>204.91541999999998</v>
      </c>
    </row>
    <row r="4" spans="1:16" ht="11" thickBot="1">
      <c r="A4" s="5" t="s">
        <v>225</v>
      </c>
      <c r="C4" s="113">
        <v>0</v>
      </c>
      <c r="E4" s="113">
        <v>779</v>
      </c>
      <c r="F4" s="113">
        <v>525.7973199999999</v>
      </c>
      <c r="G4" s="113">
        <v>535.44156999999996</v>
      </c>
      <c r="H4" s="113">
        <v>621.02570903855292</v>
      </c>
      <c r="I4" s="113">
        <v>667.59987599543115</v>
      </c>
      <c r="J4" s="113">
        <v>702.36222700765347</v>
      </c>
      <c r="K4" s="113">
        <v>921.82168340242436</v>
      </c>
      <c r="L4" s="113">
        <v>1284.7684868046665</v>
      </c>
      <c r="M4" s="113">
        <v>1549.9626631810763</v>
      </c>
      <c r="N4" s="113">
        <v>1701.6260533620441</v>
      </c>
      <c r="P4" s="107">
        <f>SUM(E4:N4)</f>
        <v>9289.4055887918475</v>
      </c>
    </row>
    <row r="5" spans="1:16" ht="11" thickBot="1">
      <c r="A5" s="5" t="s">
        <v>226</v>
      </c>
      <c r="C5" s="113">
        <v>0</v>
      </c>
      <c r="E5" s="113">
        <v>0</v>
      </c>
      <c r="F5" s="113">
        <v>0</v>
      </c>
      <c r="G5" s="113">
        <v>0</v>
      </c>
      <c r="H5" s="113">
        <v>0</v>
      </c>
      <c r="I5" s="113">
        <v>0</v>
      </c>
      <c r="J5" s="113">
        <v>0</v>
      </c>
      <c r="K5" s="113">
        <v>0</v>
      </c>
      <c r="L5" s="113">
        <v>0</v>
      </c>
      <c r="M5" s="113">
        <v>0</v>
      </c>
      <c r="N5" s="113">
        <v>0</v>
      </c>
      <c r="P5" s="107">
        <f>SUM(E5:N5)</f>
        <v>0</v>
      </c>
    </row>
    <row r="6" spans="1:16" ht="11" thickBot="1">
      <c r="A6" s="5" t="s">
        <v>227</v>
      </c>
      <c r="C6" s="113">
        <v>12.020856799999999</v>
      </c>
      <c r="E6" s="113">
        <v>0</v>
      </c>
      <c r="F6" s="113">
        <v>0</v>
      </c>
      <c r="G6" s="113">
        <v>0</v>
      </c>
      <c r="H6" s="113">
        <v>0</v>
      </c>
      <c r="I6" s="113">
        <v>0</v>
      </c>
      <c r="J6" s="113">
        <v>0</v>
      </c>
      <c r="K6" s="113">
        <v>0</v>
      </c>
      <c r="L6" s="113">
        <v>0</v>
      </c>
      <c r="M6" s="113">
        <v>0</v>
      </c>
      <c r="N6" s="113">
        <v>0</v>
      </c>
      <c r="P6" s="107">
        <f>SUM(E6:N6)</f>
        <v>0</v>
      </c>
    </row>
    <row r="7" spans="1:16" ht="11" thickBot="1">
      <c r="A7" s="5" t="s">
        <v>228</v>
      </c>
      <c r="C7" s="113">
        <v>0</v>
      </c>
      <c r="E7" s="113">
        <v>0</v>
      </c>
      <c r="F7" s="113">
        <v>0</v>
      </c>
      <c r="G7" s="113">
        <v>0</v>
      </c>
      <c r="H7" s="113">
        <v>0</v>
      </c>
      <c r="I7" s="113">
        <v>0</v>
      </c>
      <c r="J7" s="113">
        <v>0</v>
      </c>
      <c r="K7" s="113">
        <v>0</v>
      </c>
      <c r="L7" s="113">
        <v>0</v>
      </c>
      <c r="M7" s="113">
        <v>0</v>
      </c>
      <c r="N7" s="113">
        <v>0</v>
      </c>
      <c r="P7" s="107">
        <f>SUM(E7:N7)</f>
        <v>0</v>
      </c>
    </row>
    <row r="8" spans="1:16" ht="11" thickBot="1">
      <c r="A8" s="108" t="s">
        <v>229</v>
      </c>
      <c r="C8" s="13">
        <f>SUM(C3:C7)</f>
        <v>473.47279723359156</v>
      </c>
      <c r="E8" s="13">
        <f t="shared" ref="E8:N8" si="0">SUM(E3:E7)</f>
        <v>866</v>
      </c>
      <c r="F8" s="13">
        <f t="shared" si="0"/>
        <v>584.2192399999999</v>
      </c>
      <c r="G8" s="13">
        <f t="shared" si="0"/>
        <v>594.93507</v>
      </c>
      <c r="H8" s="13">
        <f t="shared" si="0"/>
        <v>621.02570903855292</v>
      </c>
      <c r="I8" s="13">
        <f t="shared" si="0"/>
        <v>667.59987599543115</v>
      </c>
      <c r="J8" s="13">
        <f t="shared" si="0"/>
        <v>702.36222700765347</v>
      </c>
      <c r="K8" s="13">
        <f t="shared" si="0"/>
        <v>921.82168340242436</v>
      </c>
      <c r="L8" s="13">
        <f t="shared" si="0"/>
        <v>1284.7684868046665</v>
      </c>
      <c r="M8" s="13">
        <f t="shared" si="0"/>
        <v>1549.9626631810763</v>
      </c>
      <c r="N8" s="13">
        <f t="shared" si="0"/>
        <v>1701.6260533620441</v>
      </c>
      <c r="P8" s="13">
        <f>SUM(P3:P7)</f>
        <v>9494.3210087918469</v>
      </c>
    </row>
    <row r="9" spans="1:16" ht="5.25" customHeight="1" thickBot="1">
      <c r="A9" s="76"/>
      <c r="E9" s="109"/>
      <c r="F9" s="109"/>
      <c r="G9" s="109"/>
      <c r="H9" s="109"/>
      <c r="I9" s="109"/>
      <c r="J9" s="109"/>
      <c r="K9" s="109"/>
      <c r="L9" s="109"/>
      <c r="M9" s="109"/>
      <c r="N9" s="109"/>
    </row>
    <row r="10" spans="1:16" ht="11" thickBot="1">
      <c r="A10" s="106" t="s">
        <v>230</v>
      </c>
      <c r="C10" s="4"/>
      <c r="E10" s="4"/>
      <c r="F10" s="4"/>
      <c r="G10" s="4"/>
      <c r="H10" s="4"/>
      <c r="I10" s="4"/>
      <c r="J10" s="4"/>
      <c r="K10" s="4"/>
      <c r="L10" s="4"/>
      <c r="M10" s="4"/>
      <c r="N10" s="4"/>
      <c r="O10" s="105"/>
      <c r="P10" s="4"/>
    </row>
    <row r="11" spans="1:16" ht="11" thickBot="1">
      <c r="A11" s="5" t="s">
        <v>231</v>
      </c>
      <c r="C11" s="113">
        <v>264.38130000000001</v>
      </c>
      <c r="E11" s="113">
        <v>467.6</v>
      </c>
      <c r="F11" s="113">
        <v>345.53810999999996</v>
      </c>
      <c r="G11" s="113">
        <v>335.30725000000001</v>
      </c>
      <c r="H11" s="113">
        <v>366.04460836639646</v>
      </c>
      <c r="I11" s="113">
        <v>354.74341257555636</v>
      </c>
      <c r="J11" s="113">
        <v>289.34953495758231</v>
      </c>
      <c r="K11" s="113">
        <v>289.06092333362596</v>
      </c>
      <c r="L11" s="113">
        <v>287.89720391881053</v>
      </c>
      <c r="M11" s="113">
        <v>287.35152377659563</v>
      </c>
      <c r="N11" s="113">
        <v>285.89708379770468</v>
      </c>
      <c r="P11" s="107">
        <f>SUM(E11:N11)</f>
        <v>3308.7896507262722</v>
      </c>
    </row>
    <row r="12" spans="1:16" ht="11" thickBot="1">
      <c r="A12" s="5" t="s">
        <v>232</v>
      </c>
      <c r="C12" s="113">
        <v>9.4370000000000009E-2</v>
      </c>
      <c r="E12" s="113">
        <v>-9</v>
      </c>
      <c r="F12" s="113">
        <v>0</v>
      </c>
      <c r="G12" s="113">
        <v>0</v>
      </c>
      <c r="H12" s="113">
        <v>105.30725302371634</v>
      </c>
      <c r="I12" s="113">
        <v>140.4183613805198</v>
      </c>
      <c r="J12" s="113">
        <v>180.57542543031155</v>
      </c>
      <c r="K12" s="113">
        <v>247.30326481561696</v>
      </c>
      <c r="L12" s="113">
        <v>370.05513794177438</v>
      </c>
      <c r="M12" s="113">
        <v>505.40466209696211</v>
      </c>
      <c r="N12" s="113">
        <v>595.07585651927752</v>
      </c>
      <c r="P12" s="107">
        <f>SUM(E12:N12)</f>
        <v>2135.1399612081786</v>
      </c>
    </row>
    <row r="13" spans="1:16" ht="11" thickBot="1">
      <c r="A13" s="5" t="s">
        <v>233</v>
      </c>
      <c r="C13" s="113">
        <v>48.684139999999999</v>
      </c>
      <c r="E13" s="113">
        <v>76.599999999999994</v>
      </c>
      <c r="F13" s="113">
        <v>74.681089999999998</v>
      </c>
      <c r="G13" s="113">
        <v>76.275790000000001</v>
      </c>
      <c r="H13" s="113">
        <v>81.20693</v>
      </c>
      <c r="I13" s="113">
        <v>82.343779999999995</v>
      </c>
      <c r="J13" s="113">
        <v>84.494889999999998</v>
      </c>
      <c r="K13" s="113">
        <v>84.694919999999996</v>
      </c>
      <c r="L13" s="113">
        <v>85.349800000000002</v>
      </c>
      <c r="M13" s="113">
        <v>85.665109999999999</v>
      </c>
      <c r="N13" s="113">
        <v>85.963139999999996</v>
      </c>
      <c r="P13" s="107">
        <f>SUM(E13:N13)</f>
        <v>817.27544999999998</v>
      </c>
    </row>
    <row r="14" spans="1:16" ht="11" thickBot="1">
      <c r="A14" s="5" t="s">
        <v>234</v>
      </c>
      <c r="C14" s="113">
        <v>0</v>
      </c>
      <c r="E14" s="113">
        <v>0</v>
      </c>
      <c r="F14" s="113">
        <v>0</v>
      </c>
      <c r="G14" s="113">
        <v>0</v>
      </c>
      <c r="H14" s="113">
        <v>0</v>
      </c>
      <c r="I14" s="113">
        <v>0</v>
      </c>
      <c r="J14" s="113">
        <v>0</v>
      </c>
      <c r="K14" s="113">
        <v>0</v>
      </c>
      <c r="L14" s="113">
        <v>0</v>
      </c>
      <c r="M14" s="113">
        <v>0</v>
      </c>
      <c r="N14" s="113">
        <v>0</v>
      </c>
      <c r="P14" s="107">
        <f>SUM(E14:N14)</f>
        <v>0</v>
      </c>
    </row>
    <row r="15" spans="1:16" ht="11" thickBot="1">
      <c r="A15" s="108" t="s">
        <v>235</v>
      </c>
      <c r="C15" s="13">
        <f>SUM(C11:C14)</f>
        <v>313.15981000000005</v>
      </c>
      <c r="E15" s="13">
        <f t="shared" ref="E15:N15" si="1">SUM(E11:E14)</f>
        <v>535.20000000000005</v>
      </c>
      <c r="F15" s="13">
        <f t="shared" si="1"/>
        <v>420.21919999999994</v>
      </c>
      <c r="G15" s="13">
        <f t="shared" si="1"/>
        <v>411.58303999999998</v>
      </c>
      <c r="H15" s="13">
        <f t="shared" si="1"/>
        <v>552.55879139011279</v>
      </c>
      <c r="I15" s="13">
        <f t="shared" si="1"/>
        <v>577.50555395607614</v>
      </c>
      <c r="J15" s="13">
        <f t="shared" si="1"/>
        <v>554.4198503878938</v>
      </c>
      <c r="K15" s="13">
        <f t="shared" si="1"/>
        <v>621.05910814924289</v>
      </c>
      <c r="L15" s="13">
        <f t="shared" si="1"/>
        <v>743.30214186058492</v>
      </c>
      <c r="M15" s="13">
        <f t="shared" si="1"/>
        <v>878.42129587355782</v>
      </c>
      <c r="N15" s="13">
        <f t="shared" si="1"/>
        <v>966.93608031698216</v>
      </c>
      <c r="P15" s="13">
        <f>SUM(P11:P14)</f>
        <v>6261.2050619344509</v>
      </c>
    </row>
    <row r="16" spans="1:16" ht="5.25" customHeight="1" thickBot="1">
      <c r="A16" s="110"/>
    </row>
    <row r="17" spans="1:16" ht="11" thickBot="1">
      <c r="A17" s="108" t="s">
        <v>236</v>
      </c>
      <c r="C17" s="13">
        <f>C8-C15</f>
        <v>160.31298723359151</v>
      </c>
      <c r="E17" s="13">
        <f t="shared" ref="E17:N17" si="2">E8-E15</f>
        <v>330.79999999999995</v>
      </c>
      <c r="F17" s="13">
        <f t="shared" si="2"/>
        <v>164.00003999999996</v>
      </c>
      <c r="G17" s="13">
        <f t="shared" si="2"/>
        <v>183.35203000000001</v>
      </c>
      <c r="H17" s="13">
        <f t="shared" si="2"/>
        <v>68.466917648440131</v>
      </c>
      <c r="I17" s="13">
        <f t="shared" si="2"/>
        <v>90.094322039355006</v>
      </c>
      <c r="J17" s="13">
        <f t="shared" si="2"/>
        <v>147.94237661975967</v>
      </c>
      <c r="K17" s="13">
        <f t="shared" si="2"/>
        <v>300.76257525318147</v>
      </c>
      <c r="L17" s="13">
        <f t="shared" si="2"/>
        <v>541.46634494408158</v>
      </c>
      <c r="M17" s="13">
        <f t="shared" si="2"/>
        <v>671.5413673075185</v>
      </c>
      <c r="N17" s="13">
        <f t="shared" si="2"/>
        <v>734.68997304506195</v>
      </c>
      <c r="P17" s="13">
        <f>P8-P15</f>
        <v>3233.115946857396</v>
      </c>
    </row>
    <row r="18" spans="1:16" ht="5.25" customHeight="1" thickBot="1">
      <c r="A18" s="76"/>
    </row>
    <row r="19" spans="1:16" ht="11" thickBot="1">
      <c r="A19" s="106" t="s">
        <v>237</v>
      </c>
      <c r="C19" s="4"/>
      <c r="E19" s="4"/>
      <c r="F19" s="4"/>
      <c r="G19" s="4"/>
      <c r="H19" s="4"/>
      <c r="I19" s="4"/>
      <c r="J19" s="4"/>
      <c r="K19" s="4"/>
      <c r="L19" s="4"/>
      <c r="M19" s="4"/>
      <c r="N19" s="4"/>
      <c r="O19" s="105"/>
      <c r="P19" s="4"/>
    </row>
    <row r="20" spans="1:16" ht="11" thickBot="1">
      <c r="A20" s="5" t="s">
        <v>238</v>
      </c>
      <c r="C20" s="113">
        <v>0</v>
      </c>
      <c r="E20" s="113">
        <v>0</v>
      </c>
      <c r="F20" s="113">
        <v>0</v>
      </c>
      <c r="G20" s="113">
        <v>0</v>
      </c>
      <c r="H20" s="113">
        <v>0</v>
      </c>
      <c r="I20" s="113">
        <v>0</v>
      </c>
      <c r="J20" s="113">
        <v>0</v>
      </c>
      <c r="K20" s="113">
        <v>0</v>
      </c>
      <c r="L20" s="113">
        <v>0</v>
      </c>
      <c r="M20" s="113">
        <v>0</v>
      </c>
      <c r="N20" s="113">
        <v>0</v>
      </c>
      <c r="P20" s="107">
        <f>SUM(E20:N20)</f>
        <v>0</v>
      </c>
    </row>
    <row r="21" spans="1:16" ht="11" thickBot="1">
      <c r="A21" s="5" t="s">
        <v>239</v>
      </c>
      <c r="C21" s="113">
        <v>0</v>
      </c>
      <c r="E21" s="113">
        <v>0</v>
      </c>
      <c r="F21" s="113">
        <v>0</v>
      </c>
      <c r="G21" s="113">
        <v>0</v>
      </c>
      <c r="H21" s="113">
        <v>0</v>
      </c>
      <c r="I21" s="113">
        <v>0</v>
      </c>
      <c r="J21" s="113">
        <v>0</v>
      </c>
      <c r="K21" s="113">
        <v>0</v>
      </c>
      <c r="L21" s="113">
        <v>0</v>
      </c>
      <c r="M21" s="113">
        <v>0</v>
      </c>
      <c r="N21" s="113">
        <v>0</v>
      </c>
      <c r="P21" s="107">
        <f>SUM(E21:N21)</f>
        <v>0</v>
      </c>
    </row>
    <row r="22" spans="1:16" ht="11" thickBot="1">
      <c r="A22" s="5" t="s">
        <v>240</v>
      </c>
      <c r="C22" s="113">
        <v>-19.920000000000002</v>
      </c>
      <c r="E22" s="113">
        <v>-382</v>
      </c>
      <c r="F22" s="113">
        <v>128.84200000000001</v>
      </c>
      <c r="G22" s="113">
        <v>110.116</v>
      </c>
      <c r="H22" s="113">
        <v>447.08470359363213</v>
      </c>
      <c r="I22" s="113">
        <v>495.65567796064505</v>
      </c>
      <c r="J22" s="113">
        <v>973.74509309398456</v>
      </c>
      <c r="K22" s="113">
        <v>1535.3550464224845</v>
      </c>
      <c r="L22" s="113">
        <v>1843.5974003710303</v>
      </c>
      <c r="M22" s="113">
        <v>1300.8073114516912</v>
      </c>
      <c r="N22" s="113">
        <v>631.68407099314027</v>
      </c>
      <c r="P22" s="107">
        <f>SUM(E22:N22)</f>
        <v>7084.8873038866077</v>
      </c>
    </row>
    <row r="23" spans="1:16" ht="11" thickBot="1">
      <c r="A23" s="5" t="s">
        <v>241</v>
      </c>
      <c r="C23" s="113">
        <v>0</v>
      </c>
      <c r="E23" s="113">
        <v>0</v>
      </c>
      <c r="F23" s="113">
        <v>0</v>
      </c>
      <c r="G23" s="113">
        <v>0</v>
      </c>
      <c r="H23" s="113">
        <v>0</v>
      </c>
      <c r="I23" s="113">
        <v>0</v>
      </c>
      <c r="J23" s="113">
        <v>0</v>
      </c>
      <c r="K23" s="113">
        <v>0</v>
      </c>
      <c r="L23" s="113">
        <v>0</v>
      </c>
      <c r="M23" s="113">
        <v>0</v>
      </c>
      <c r="N23" s="113">
        <v>0</v>
      </c>
      <c r="P23" s="107">
        <f>SUM(E23:N23)</f>
        <v>0</v>
      </c>
    </row>
    <row r="24" spans="1:16" ht="11" thickBot="1">
      <c r="A24" s="5" t="s">
        <v>242</v>
      </c>
      <c r="C24" s="113">
        <v>0</v>
      </c>
      <c r="E24" s="113">
        <v>0</v>
      </c>
      <c r="F24" s="113">
        <v>0</v>
      </c>
      <c r="G24" s="113">
        <v>0</v>
      </c>
      <c r="H24" s="113">
        <v>0</v>
      </c>
      <c r="I24" s="113">
        <v>0</v>
      </c>
      <c r="J24" s="113">
        <v>0</v>
      </c>
      <c r="K24" s="113">
        <v>0</v>
      </c>
      <c r="L24" s="113">
        <v>0</v>
      </c>
      <c r="M24" s="113">
        <v>0</v>
      </c>
      <c r="N24" s="113">
        <v>0</v>
      </c>
      <c r="P24" s="107">
        <f>SUM(E24:N24)</f>
        <v>0</v>
      </c>
    </row>
    <row r="25" spans="1:16" ht="11" thickBot="1">
      <c r="A25" s="108" t="s">
        <v>243</v>
      </c>
      <c r="C25" s="13">
        <f>SUM(C20:C24)</f>
        <v>-19.920000000000002</v>
      </c>
      <c r="E25" s="13">
        <f t="shared" ref="E25:N25" si="3">SUM(E20:E24)</f>
        <v>-382</v>
      </c>
      <c r="F25" s="13">
        <f t="shared" si="3"/>
        <v>128.84200000000001</v>
      </c>
      <c r="G25" s="13">
        <f t="shared" si="3"/>
        <v>110.116</v>
      </c>
      <c r="H25" s="13">
        <f t="shared" si="3"/>
        <v>447.08470359363213</v>
      </c>
      <c r="I25" s="13">
        <f t="shared" si="3"/>
        <v>495.65567796064505</v>
      </c>
      <c r="J25" s="13">
        <f t="shared" si="3"/>
        <v>973.74509309398456</v>
      </c>
      <c r="K25" s="13">
        <f t="shared" si="3"/>
        <v>1535.3550464224845</v>
      </c>
      <c r="L25" s="13">
        <f t="shared" si="3"/>
        <v>1843.5974003710303</v>
      </c>
      <c r="M25" s="13">
        <f t="shared" si="3"/>
        <v>1300.8073114516912</v>
      </c>
      <c r="N25" s="13">
        <f t="shared" si="3"/>
        <v>631.68407099314027</v>
      </c>
      <c r="P25" s="13">
        <f>SUM(P20:P24)</f>
        <v>7084.8873038866077</v>
      </c>
    </row>
    <row r="26" spans="1:16" ht="5.25" customHeight="1" thickBot="1">
      <c r="A26" s="76"/>
    </row>
    <row r="27" spans="1:16" ht="11" thickBot="1">
      <c r="A27" s="106" t="s">
        <v>244</v>
      </c>
      <c r="C27" s="4"/>
      <c r="E27" s="4"/>
      <c r="F27" s="4"/>
      <c r="G27" s="4"/>
      <c r="H27" s="4"/>
      <c r="I27" s="4"/>
      <c r="J27" s="4"/>
      <c r="K27" s="4"/>
      <c r="L27" s="4"/>
      <c r="M27" s="4"/>
      <c r="N27" s="4"/>
      <c r="O27" s="105"/>
      <c r="P27" s="4"/>
    </row>
    <row r="28" spans="1:16" ht="11" thickBot="1">
      <c r="A28" s="5" t="s">
        <v>194</v>
      </c>
      <c r="C28" s="113">
        <v>0</v>
      </c>
      <c r="E28" s="113">
        <v>0</v>
      </c>
      <c r="F28" s="113">
        <v>0</v>
      </c>
      <c r="G28" s="113">
        <v>0</v>
      </c>
      <c r="H28" s="113">
        <v>0</v>
      </c>
      <c r="I28" s="113">
        <v>0</v>
      </c>
      <c r="J28" s="113">
        <v>0</v>
      </c>
      <c r="K28" s="113">
        <v>0</v>
      </c>
      <c r="L28" s="113">
        <v>0</v>
      </c>
      <c r="M28" s="113">
        <v>0</v>
      </c>
      <c r="N28" s="113">
        <v>0</v>
      </c>
      <c r="P28" s="107">
        <f>SUM(E28:N28)</f>
        <v>0</v>
      </c>
    </row>
    <row r="29" spans="1:16" ht="11" thickBot="1">
      <c r="A29" s="5" t="s">
        <v>195</v>
      </c>
      <c r="C29" s="113">
        <v>0</v>
      </c>
      <c r="E29" s="113">
        <v>0</v>
      </c>
      <c r="F29" s="113">
        <v>0</v>
      </c>
      <c r="G29" s="113">
        <v>0</v>
      </c>
      <c r="H29" s="113">
        <v>110.00000000000001</v>
      </c>
      <c r="I29" s="113">
        <v>385.00000000000006</v>
      </c>
      <c r="J29" s="113">
        <v>934.78361124709829</v>
      </c>
      <c r="K29" s="113">
        <v>1649.4275877287182</v>
      </c>
      <c r="L29" s="113">
        <v>2198.7282676054106</v>
      </c>
      <c r="M29" s="113">
        <v>1786.345280091226</v>
      </c>
      <c r="N29" s="113">
        <v>1180.8144971642066</v>
      </c>
      <c r="P29" s="107">
        <f>SUM(E29:N29)</f>
        <v>8245.0992438366593</v>
      </c>
    </row>
    <row r="30" spans="1:16" ht="11" thickBot="1">
      <c r="A30" s="5" t="s">
        <v>196</v>
      </c>
      <c r="C30" s="113">
        <v>77.513310000000004</v>
      </c>
      <c r="E30" s="113">
        <v>206</v>
      </c>
      <c r="F30" s="113">
        <v>292.84199999999998</v>
      </c>
      <c r="G30" s="113">
        <v>293.46800000000002</v>
      </c>
      <c r="H30" s="113">
        <v>162.25</v>
      </c>
      <c r="I30" s="113">
        <v>200.75000000000003</v>
      </c>
      <c r="J30" s="113">
        <v>186.90385846664566</v>
      </c>
      <c r="K30" s="113">
        <v>186.69003394694775</v>
      </c>
      <c r="L30" s="113">
        <v>186.33547770970151</v>
      </c>
      <c r="M30" s="113">
        <v>186.00339866798404</v>
      </c>
      <c r="N30" s="113">
        <v>185.55954687399566</v>
      </c>
      <c r="P30" s="107">
        <f>SUM(E30:N30)</f>
        <v>2086.8023156652748</v>
      </c>
    </row>
    <row r="31" spans="1:16" ht="11" thickBot="1">
      <c r="A31" s="5" t="s">
        <v>245</v>
      </c>
      <c r="C31" s="113">
        <v>62.879677233591558</v>
      </c>
      <c r="E31" s="113">
        <v>-257</v>
      </c>
      <c r="F31" s="113">
        <v>0</v>
      </c>
      <c r="G31" s="113">
        <v>0</v>
      </c>
      <c r="H31" s="113">
        <v>0</v>
      </c>
      <c r="I31" s="113">
        <v>0</v>
      </c>
      <c r="J31" s="113">
        <v>0</v>
      </c>
      <c r="K31" s="113">
        <v>0</v>
      </c>
      <c r="L31" s="113">
        <v>0</v>
      </c>
      <c r="M31" s="113">
        <v>0</v>
      </c>
      <c r="N31" s="113">
        <v>0</v>
      </c>
      <c r="P31" s="107">
        <f>SUM(E31:N31)</f>
        <v>-257</v>
      </c>
    </row>
    <row r="32" spans="1:16" ht="11" thickBot="1">
      <c r="A32" s="5" t="s">
        <v>246</v>
      </c>
      <c r="C32" s="113">
        <v>0</v>
      </c>
      <c r="E32" s="113">
        <v>0</v>
      </c>
      <c r="F32" s="113">
        <v>0</v>
      </c>
      <c r="G32" s="113">
        <v>0</v>
      </c>
      <c r="H32" s="113">
        <v>243.30162124207217</v>
      </c>
      <c r="I32" s="113">
        <v>0</v>
      </c>
      <c r="J32" s="113">
        <v>0</v>
      </c>
      <c r="K32" s="113">
        <v>0</v>
      </c>
      <c r="L32" s="113">
        <v>0</v>
      </c>
      <c r="M32" s="113">
        <v>0</v>
      </c>
      <c r="N32" s="113">
        <v>0</v>
      </c>
      <c r="P32" s="107">
        <f>SUM(E32:N32)</f>
        <v>243.30162124207217</v>
      </c>
    </row>
    <row r="33" spans="1:16" ht="11" thickBot="1">
      <c r="A33" s="108" t="s">
        <v>247</v>
      </c>
      <c r="C33" s="13">
        <f>SUM(C28:C32)</f>
        <v>140.39298723359155</v>
      </c>
      <c r="E33" s="13">
        <f t="shared" ref="E33:N33" si="4">SUM(E28:E32)</f>
        <v>-51</v>
      </c>
      <c r="F33" s="13">
        <f t="shared" si="4"/>
        <v>292.84199999999998</v>
      </c>
      <c r="G33" s="13">
        <f t="shared" si="4"/>
        <v>293.46800000000002</v>
      </c>
      <c r="H33" s="13">
        <f t="shared" si="4"/>
        <v>515.5516212420722</v>
      </c>
      <c r="I33" s="13">
        <f t="shared" si="4"/>
        <v>585.75000000000011</v>
      </c>
      <c r="J33" s="13">
        <f t="shared" si="4"/>
        <v>1121.6874697137439</v>
      </c>
      <c r="K33" s="13">
        <f t="shared" si="4"/>
        <v>1836.117621675666</v>
      </c>
      <c r="L33" s="13">
        <f t="shared" si="4"/>
        <v>2385.0637453151121</v>
      </c>
      <c r="M33" s="13">
        <f t="shared" si="4"/>
        <v>1972.3486787592101</v>
      </c>
      <c r="N33" s="13">
        <f t="shared" si="4"/>
        <v>1366.3740440382023</v>
      </c>
      <c r="P33" s="13">
        <f>SUM(P28:P32)</f>
        <v>10318.203180744005</v>
      </c>
    </row>
    <row r="34" spans="1:16" ht="5.25" customHeight="1" thickBot="1">
      <c r="A34" s="110"/>
    </row>
    <row r="35" spans="1:16" ht="11" thickBot="1">
      <c r="A35" s="108" t="s">
        <v>248</v>
      </c>
      <c r="C35" s="13">
        <f>C25-C33</f>
        <v>-160.31298723359157</v>
      </c>
      <c r="E35" s="13">
        <f t="shared" ref="E35:N35" si="5">E25-E33</f>
        <v>-331</v>
      </c>
      <c r="F35" s="13">
        <f t="shared" si="5"/>
        <v>-163.99999999999997</v>
      </c>
      <c r="G35" s="13">
        <f t="shared" si="5"/>
        <v>-183.35200000000003</v>
      </c>
      <c r="H35" s="13">
        <f t="shared" si="5"/>
        <v>-68.466917648440074</v>
      </c>
      <c r="I35" s="13">
        <f t="shared" si="5"/>
        <v>-90.094322039355063</v>
      </c>
      <c r="J35" s="13">
        <f t="shared" si="5"/>
        <v>-147.94237661975933</v>
      </c>
      <c r="K35" s="13">
        <f t="shared" si="5"/>
        <v>-300.76257525318147</v>
      </c>
      <c r="L35" s="13">
        <f t="shared" si="5"/>
        <v>-541.46634494408181</v>
      </c>
      <c r="M35" s="13">
        <f t="shared" si="5"/>
        <v>-671.54136730751884</v>
      </c>
      <c r="N35" s="13">
        <f t="shared" si="5"/>
        <v>-734.68997304506206</v>
      </c>
      <c r="P35" s="13">
        <f>P25-P33</f>
        <v>-3233.3158768573976</v>
      </c>
    </row>
    <row r="36" spans="1:16" ht="5.25" customHeight="1" thickBot="1">
      <c r="A36" s="111"/>
    </row>
    <row r="37" spans="1:16" ht="11" thickBot="1">
      <c r="A37" s="108" t="s">
        <v>249</v>
      </c>
      <c r="C37" s="13">
        <f>C17+C35</f>
        <v>0</v>
      </c>
      <c r="E37" s="13">
        <f t="shared" ref="E37:N37" si="6">E17+E35</f>
        <v>-0.20000000000004547</v>
      </c>
      <c r="F37" s="13">
        <f t="shared" si="6"/>
        <v>3.9999999984274837E-5</v>
      </c>
      <c r="G37" s="13">
        <f t="shared" si="6"/>
        <v>2.99999999811007E-5</v>
      </c>
      <c r="H37" s="13">
        <f t="shared" si="6"/>
        <v>0</v>
      </c>
      <c r="I37" s="13">
        <f t="shared" si="6"/>
        <v>0</v>
      </c>
      <c r="J37" s="13">
        <f t="shared" si="6"/>
        <v>3.4106051316484809E-13</v>
      </c>
      <c r="K37" s="13">
        <f t="shared" si="6"/>
        <v>0</v>
      </c>
      <c r="L37" s="13">
        <f t="shared" si="6"/>
        <v>0</v>
      </c>
      <c r="M37" s="13">
        <f t="shared" si="6"/>
        <v>0</v>
      </c>
      <c r="N37" s="13">
        <f t="shared" si="6"/>
        <v>0</v>
      </c>
      <c r="P37" s="13">
        <f>P17+P35</f>
        <v>-0.19993000000158645</v>
      </c>
    </row>
    <row r="38" spans="1:16" ht="11" thickBot="1"/>
    <row r="39" spans="1:16" ht="11" thickBot="1">
      <c r="A39" s="104" t="s">
        <v>250</v>
      </c>
      <c r="B39" s="91"/>
      <c r="C39" s="91" t="s">
        <v>29</v>
      </c>
      <c r="D39" s="91"/>
      <c r="E39" s="91" t="s">
        <v>19</v>
      </c>
      <c r="F39" s="91" t="s">
        <v>20</v>
      </c>
      <c r="G39" s="91" t="s">
        <v>21</v>
      </c>
      <c r="H39" s="91" t="s">
        <v>22</v>
      </c>
      <c r="I39" s="91" t="s">
        <v>23</v>
      </c>
      <c r="J39" s="91" t="s">
        <v>24</v>
      </c>
      <c r="K39" s="91" t="s">
        <v>25</v>
      </c>
      <c r="L39" s="91" t="s">
        <v>26</v>
      </c>
      <c r="M39" s="91" t="s">
        <v>27</v>
      </c>
      <c r="N39" s="91" t="s">
        <v>28</v>
      </c>
      <c r="O39" s="105"/>
    </row>
    <row r="40" spans="1:16" ht="11" thickBot="1">
      <c r="A40" s="5" t="s">
        <v>180</v>
      </c>
      <c r="C40" s="68">
        <f>C$8</f>
        <v>473.47279723359156</v>
      </c>
      <c r="E40" s="68">
        <f t="shared" ref="E40:N40" si="7">E$8</f>
        <v>866</v>
      </c>
      <c r="F40" s="68">
        <f t="shared" si="7"/>
        <v>584.2192399999999</v>
      </c>
      <c r="G40" s="68">
        <f t="shared" si="7"/>
        <v>594.93507</v>
      </c>
      <c r="H40" s="68">
        <f t="shared" si="7"/>
        <v>621.02570903855292</v>
      </c>
      <c r="I40" s="68">
        <f t="shared" si="7"/>
        <v>667.59987599543115</v>
      </c>
      <c r="J40" s="68">
        <f t="shared" si="7"/>
        <v>702.36222700765347</v>
      </c>
      <c r="K40" s="68">
        <f t="shared" si="7"/>
        <v>921.82168340242436</v>
      </c>
      <c r="L40" s="68">
        <f t="shared" si="7"/>
        <v>1284.7684868046665</v>
      </c>
      <c r="M40" s="68">
        <f t="shared" si="7"/>
        <v>1549.9626631810763</v>
      </c>
      <c r="N40" s="68">
        <f t="shared" si="7"/>
        <v>1701.6260533620441</v>
      </c>
    </row>
    <row r="41" spans="1:16" ht="11" thickBot="1">
      <c r="A41" s="5" t="s">
        <v>251</v>
      </c>
      <c r="C41" s="68">
        <f>C$20+C$21+C$23+C$24</f>
        <v>0</v>
      </c>
      <c r="E41" s="68">
        <f t="shared" ref="E41:N41" si="8">E$20+E$21+E$23+E$24</f>
        <v>0</v>
      </c>
      <c r="F41" s="68">
        <f t="shared" si="8"/>
        <v>0</v>
      </c>
      <c r="G41" s="68">
        <f t="shared" si="8"/>
        <v>0</v>
      </c>
      <c r="H41" s="68">
        <f t="shared" si="8"/>
        <v>0</v>
      </c>
      <c r="I41" s="68">
        <f t="shared" si="8"/>
        <v>0</v>
      </c>
      <c r="J41" s="68">
        <f t="shared" si="8"/>
        <v>0</v>
      </c>
      <c r="K41" s="68">
        <f t="shared" si="8"/>
        <v>0</v>
      </c>
      <c r="L41" s="68">
        <f t="shared" si="8"/>
        <v>0</v>
      </c>
      <c r="M41" s="68">
        <f t="shared" si="8"/>
        <v>0</v>
      </c>
      <c r="N41" s="68">
        <f t="shared" si="8"/>
        <v>0</v>
      </c>
    </row>
    <row r="42" spans="1:16" ht="11" thickBot="1">
      <c r="A42" s="108" t="s">
        <v>252</v>
      </c>
      <c r="C42" s="13">
        <f>SUM(C40:C41)</f>
        <v>473.47279723359156</v>
      </c>
      <c r="E42" s="13">
        <f t="shared" ref="E42:N42" si="9">SUM(E40:E41)</f>
        <v>866</v>
      </c>
      <c r="F42" s="13">
        <f t="shared" si="9"/>
        <v>584.2192399999999</v>
      </c>
      <c r="G42" s="13">
        <f t="shared" si="9"/>
        <v>594.93507</v>
      </c>
      <c r="H42" s="13">
        <f t="shared" si="9"/>
        <v>621.02570903855292</v>
      </c>
      <c r="I42" s="13">
        <f t="shared" si="9"/>
        <v>667.59987599543115</v>
      </c>
      <c r="J42" s="13">
        <f t="shared" si="9"/>
        <v>702.36222700765347</v>
      </c>
      <c r="K42" s="13">
        <f t="shared" si="9"/>
        <v>921.82168340242436</v>
      </c>
      <c r="L42" s="13">
        <f t="shared" si="9"/>
        <v>1284.7684868046665</v>
      </c>
      <c r="M42" s="13">
        <f t="shared" si="9"/>
        <v>1549.9626631810763</v>
      </c>
      <c r="N42" s="13">
        <f t="shared" si="9"/>
        <v>1701.6260533620441</v>
      </c>
    </row>
    <row r="43" spans="1:16" ht="5.25" customHeight="1" thickBot="1">
      <c r="A43" s="5"/>
      <c r="C43" s="112"/>
      <c r="E43" s="112"/>
      <c r="F43" s="112"/>
      <c r="G43" s="112"/>
      <c r="H43" s="112"/>
      <c r="I43" s="112"/>
      <c r="J43" s="112"/>
      <c r="K43" s="112"/>
      <c r="L43" s="112"/>
      <c r="M43" s="112"/>
      <c r="N43" s="112"/>
    </row>
    <row r="44" spans="1:16" ht="11" thickBot="1">
      <c r="A44" s="5" t="s">
        <v>253</v>
      </c>
      <c r="C44" s="68">
        <f>C$11+C$14</f>
        <v>264.38130000000001</v>
      </c>
      <c r="E44" s="68">
        <f t="shared" ref="E44:N44" si="10">E$11+E$14</f>
        <v>467.6</v>
      </c>
      <c r="F44" s="68">
        <f t="shared" si="10"/>
        <v>345.53810999999996</v>
      </c>
      <c r="G44" s="68">
        <f t="shared" si="10"/>
        <v>335.30725000000001</v>
      </c>
      <c r="H44" s="68">
        <f t="shared" si="10"/>
        <v>366.04460836639646</v>
      </c>
      <c r="I44" s="68">
        <f t="shared" si="10"/>
        <v>354.74341257555636</v>
      </c>
      <c r="J44" s="68">
        <f t="shared" si="10"/>
        <v>289.34953495758231</v>
      </c>
      <c r="K44" s="68">
        <f t="shared" si="10"/>
        <v>289.06092333362596</v>
      </c>
      <c r="L44" s="68">
        <f t="shared" si="10"/>
        <v>287.89720391881053</v>
      </c>
      <c r="M44" s="68">
        <f t="shared" si="10"/>
        <v>287.35152377659563</v>
      </c>
      <c r="N44" s="68">
        <f t="shared" si="10"/>
        <v>285.89708379770468</v>
      </c>
    </row>
    <row r="45" spans="1:16" ht="11" thickBot="1">
      <c r="A45" s="5" t="s">
        <v>232</v>
      </c>
      <c r="C45" s="68">
        <f>C$12</f>
        <v>9.4370000000000009E-2</v>
      </c>
      <c r="E45" s="68">
        <f t="shared" ref="E45:N45" si="11">E$12</f>
        <v>-9</v>
      </c>
      <c r="F45" s="68">
        <f t="shared" si="11"/>
        <v>0</v>
      </c>
      <c r="G45" s="68">
        <f t="shared" si="11"/>
        <v>0</v>
      </c>
      <c r="H45" s="68">
        <f t="shared" si="11"/>
        <v>105.30725302371634</v>
      </c>
      <c r="I45" s="68">
        <f t="shared" si="11"/>
        <v>140.4183613805198</v>
      </c>
      <c r="J45" s="68">
        <f t="shared" si="11"/>
        <v>180.57542543031155</v>
      </c>
      <c r="K45" s="68">
        <f t="shared" si="11"/>
        <v>247.30326481561696</v>
      </c>
      <c r="L45" s="68">
        <f t="shared" si="11"/>
        <v>370.05513794177438</v>
      </c>
      <c r="M45" s="68">
        <f t="shared" si="11"/>
        <v>505.40466209696211</v>
      </c>
      <c r="N45" s="68">
        <f t="shared" si="11"/>
        <v>595.07585651927752</v>
      </c>
    </row>
    <row r="46" spans="1:16" ht="11" thickBot="1">
      <c r="A46" s="5" t="s">
        <v>254</v>
      </c>
      <c r="C46" s="68">
        <f>C$13</f>
        <v>48.684139999999999</v>
      </c>
      <c r="E46" s="68">
        <f t="shared" ref="E46:N46" si="12">E$13</f>
        <v>76.599999999999994</v>
      </c>
      <c r="F46" s="68">
        <f t="shared" si="12"/>
        <v>74.681089999999998</v>
      </c>
      <c r="G46" s="68">
        <f t="shared" si="12"/>
        <v>76.275790000000001</v>
      </c>
      <c r="H46" s="68">
        <f t="shared" si="12"/>
        <v>81.20693</v>
      </c>
      <c r="I46" s="68">
        <f t="shared" si="12"/>
        <v>82.343779999999995</v>
      </c>
      <c r="J46" s="68">
        <f t="shared" si="12"/>
        <v>84.494889999999998</v>
      </c>
      <c r="K46" s="68">
        <f t="shared" si="12"/>
        <v>84.694919999999996</v>
      </c>
      <c r="L46" s="68">
        <f t="shared" si="12"/>
        <v>85.349800000000002</v>
      </c>
      <c r="M46" s="68">
        <f t="shared" si="12"/>
        <v>85.665109999999999</v>
      </c>
      <c r="N46" s="68">
        <f t="shared" si="12"/>
        <v>85.963139999999996</v>
      </c>
    </row>
    <row r="47" spans="1:16" ht="11" thickBot="1">
      <c r="A47" s="5" t="s">
        <v>255</v>
      </c>
      <c r="C47" s="68">
        <f>Input!O20</f>
        <v>324.30642999999998</v>
      </c>
      <c r="E47" s="68">
        <f>Input!C$20</f>
        <v>330</v>
      </c>
      <c r="F47" s="68">
        <f>Input!D$20</f>
        <v>164</v>
      </c>
      <c r="G47" s="68">
        <f>Input!E$20</f>
        <v>183.352</v>
      </c>
      <c r="H47" s="68">
        <f>Input!F$20</f>
        <v>183.352</v>
      </c>
      <c r="I47" s="68">
        <f>Input!G$20</f>
        <v>205.64445000000001</v>
      </c>
      <c r="J47" s="68">
        <f>Input!H$20</f>
        <v>215.64444</v>
      </c>
      <c r="K47" s="68">
        <f>Input!I$20</f>
        <v>259.33390661775326</v>
      </c>
      <c r="L47" s="68">
        <f>Input!J$20</f>
        <v>302.17911258634336</v>
      </c>
      <c r="M47" s="68">
        <f>Input!K$20</f>
        <v>378.93848698249354</v>
      </c>
      <c r="N47" s="68">
        <f>Input!L$20</f>
        <v>425.33797507383417</v>
      </c>
    </row>
    <row r="48" spans="1:16" ht="11" thickBot="1">
      <c r="A48" s="108" t="s">
        <v>256</v>
      </c>
      <c r="C48" s="13">
        <f>SUM(C44:C47)</f>
        <v>637.46623999999997</v>
      </c>
      <c r="E48" s="13">
        <f t="shared" ref="E48:N48" si="13">SUM(E44:E47)</f>
        <v>865.2</v>
      </c>
      <c r="F48" s="13">
        <f t="shared" si="13"/>
        <v>584.2192</v>
      </c>
      <c r="G48" s="13">
        <f t="shared" si="13"/>
        <v>594.93503999999996</v>
      </c>
      <c r="H48" s="13">
        <f t="shared" si="13"/>
        <v>735.91079139011276</v>
      </c>
      <c r="I48" s="13">
        <f t="shared" si="13"/>
        <v>783.15000395607615</v>
      </c>
      <c r="J48" s="13">
        <f t="shared" si="13"/>
        <v>770.06429038789383</v>
      </c>
      <c r="K48" s="13">
        <f t="shared" si="13"/>
        <v>880.3930147669962</v>
      </c>
      <c r="L48" s="13">
        <f t="shared" si="13"/>
        <v>1045.4812544469282</v>
      </c>
      <c r="M48" s="13">
        <f t="shared" si="13"/>
        <v>1257.3597828560514</v>
      </c>
      <c r="N48" s="13">
        <f t="shared" si="13"/>
        <v>1392.2740553908163</v>
      </c>
    </row>
    <row r="49" spans="1:15" ht="5.25" customHeight="1" thickBot="1">
      <c r="A49" s="5"/>
      <c r="C49" s="68"/>
      <c r="E49" s="112"/>
      <c r="F49" s="112"/>
      <c r="G49" s="112"/>
      <c r="H49" s="112"/>
      <c r="I49" s="112"/>
      <c r="J49" s="112"/>
      <c r="K49" s="112"/>
      <c r="L49" s="112"/>
      <c r="M49" s="112"/>
      <c r="N49" s="112"/>
    </row>
    <row r="50" spans="1:15" ht="11" thickBot="1">
      <c r="A50" s="108" t="s">
        <v>257</v>
      </c>
      <c r="C50" s="13">
        <f>C42-C48</f>
        <v>-163.99344276640841</v>
      </c>
      <c r="E50" s="13">
        <f t="shared" ref="E50:N50" si="14">E42-E48</f>
        <v>0.79999999999995453</v>
      </c>
      <c r="F50" s="13">
        <f t="shared" si="14"/>
        <v>3.9999999899009708E-5</v>
      </c>
      <c r="G50" s="13">
        <f t="shared" si="14"/>
        <v>3.0000000037944119E-5</v>
      </c>
      <c r="H50" s="13">
        <f t="shared" si="14"/>
        <v>-114.88508235155984</v>
      </c>
      <c r="I50" s="13">
        <f t="shared" si="14"/>
        <v>-115.550127960645</v>
      </c>
      <c r="J50" s="13">
        <f t="shared" si="14"/>
        <v>-67.702063380240361</v>
      </c>
      <c r="K50" s="13">
        <f t="shared" si="14"/>
        <v>41.428668635428153</v>
      </c>
      <c r="L50" s="13">
        <f t="shared" si="14"/>
        <v>239.28723235773828</v>
      </c>
      <c r="M50" s="13">
        <f t="shared" si="14"/>
        <v>292.6028803250249</v>
      </c>
      <c r="N50" s="13">
        <f t="shared" si="14"/>
        <v>309.35199797122777</v>
      </c>
    </row>
    <row r="51" spans="1:15" ht="5.25" customHeight="1" thickBot="1">
      <c r="A51" s="5"/>
      <c r="C51" s="68"/>
      <c r="E51" s="112"/>
      <c r="F51" s="112"/>
      <c r="G51" s="112"/>
      <c r="H51" s="112"/>
      <c r="I51" s="112"/>
      <c r="J51" s="112"/>
      <c r="K51" s="112"/>
      <c r="L51" s="112"/>
      <c r="M51" s="112"/>
      <c r="N51" s="112"/>
    </row>
    <row r="52" spans="1:15" ht="11" thickBot="1">
      <c r="A52" s="5" t="s">
        <v>258</v>
      </c>
      <c r="C52" s="113">
        <f>Input!O25</f>
        <v>6360.6010985175617</v>
      </c>
      <c r="E52" s="68">
        <f>Input!C$25</f>
        <v>750.29600800000071</v>
      </c>
      <c r="F52" s="68">
        <f>Input!D$25</f>
        <v>0</v>
      </c>
      <c r="G52" s="68">
        <f>Input!E$25</f>
        <v>1281.9126562442275</v>
      </c>
      <c r="H52" s="68">
        <f>Input!F$25</f>
        <v>0</v>
      </c>
      <c r="I52" s="68">
        <f>Input!G$25</f>
        <v>1469.7627523773619</v>
      </c>
      <c r="J52" s="68">
        <f>Input!H$25</f>
        <v>0</v>
      </c>
      <c r="K52" s="68">
        <f>Input!I$25</f>
        <v>1544.1466147339838</v>
      </c>
      <c r="L52" s="68">
        <f>Input!J$25</f>
        <v>0</v>
      </c>
      <c r="M52" s="68">
        <f>Input!K$25</f>
        <v>1796.9271303533876</v>
      </c>
      <c r="N52" s="68">
        <f>Input!L$25</f>
        <v>0</v>
      </c>
    </row>
    <row r="53" spans="1:15" ht="11" thickBot="1">
      <c r="A53" s="108" t="s">
        <v>259</v>
      </c>
      <c r="C53" s="13">
        <f>C50+C52</f>
        <v>6196.6076557511533</v>
      </c>
      <c r="E53" s="13">
        <f t="shared" ref="E53:N53" si="15">E50+E52</f>
        <v>751.09600800000067</v>
      </c>
      <c r="F53" s="13">
        <f t="shared" si="15"/>
        <v>3.9999999899009708E-5</v>
      </c>
      <c r="G53" s="13">
        <f t="shared" si="15"/>
        <v>1281.9126862442276</v>
      </c>
      <c r="H53" s="13">
        <f t="shared" si="15"/>
        <v>-114.88508235155984</v>
      </c>
      <c r="I53" s="13">
        <f t="shared" si="15"/>
        <v>1354.2126244167171</v>
      </c>
      <c r="J53" s="13">
        <f t="shared" si="15"/>
        <v>-67.702063380240361</v>
      </c>
      <c r="K53" s="13">
        <f t="shared" si="15"/>
        <v>1585.5752833694119</v>
      </c>
      <c r="L53" s="13">
        <f t="shared" si="15"/>
        <v>239.28723235773828</v>
      </c>
      <c r="M53" s="13">
        <f t="shared" si="15"/>
        <v>2089.5300106784125</v>
      </c>
      <c r="N53" s="13">
        <f t="shared" si="15"/>
        <v>309.35199797122777</v>
      </c>
    </row>
    <row r="54" spans="1:15" ht="5.25" customHeight="1" thickBot="1">
      <c r="A54" s="5"/>
      <c r="C54" s="68"/>
      <c r="E54" s="112"/>
      <c r="F54" s="112"/>
      <c r="G54" s="112"/>
      <c r="H54" s="112"/>
      <c r="I54" s="112"/>
      <c r="J54" s="112"/>
      <c r="K54" s="112"/>
      <c r="L54" s="112"/>
      <c r="M54" s="112"/>
      <c r="N54" s="112"/>
    </row>
    <row r="55" spans="1:15" ht="11" thickBot="1">
      <c r="A55" s="108" t="s">
        <v>260</v>
      </c>
      <c r="C55" s="13">
        <f>C50+C47</f>
        <v>160.31298723359157</v>
      </c>
      <c r="E55" s="13">
        <f t="shared" ref="E55:N55" si="16">E50+E47</f>
        <v>330.79999999999995</v>
      </c>
      <c r="F55" s="13">
        <f t="shared" si="16"/>
        <v>164.0000399999999</v>
      </c>
      <c r="G55" s="13">
        <f t="shared" si="16"/>
        <v>183.35203000000004</v>
      </c>
      <c r="H55" s="13">
        <f t="shared" si="16"/>
        <v>68.466917648440159</v>
      </c>
      <c r="I55" s="13">
        <f t="shared" si="16"/>
        <v>90.094322039355006</v>
      </c>
      <c r="J55" s="13">
        <f t="shared" si="16"/>
        <v>147.94237661975964</v>
      </c>
      <c r="K55" s="13">
        <f t="shared" si="16"/>
        <v>300.76257525318141</v>
      </c>
      <c r="L55" s="13">
        <f t="shared" si="16"/>
        <v>541.46634494408158</v>
      </c>
      <c r="M55" s="13">
        <f t="shared" si="16"/>
        <v>671.54136730751839</v>
      </c>
      <c r="N55" s="13">
        <f t="shared" si="16"/>
        <v>734.68997304506195</v>
      </c>
    </row>
    <row r="56" spans="1:15" ht="11" thickBot="1"/>
    <row r="57" spans="1:15" ht="11" thickBot="1">
      <c r="A57" s="104" t="s">
        <v>261</v>
      </c>
      <c r="B57" s="91"/>
      <c r="C57" s="91" t="s">
        <v>29</v>
      </c>
      <c r="D57" s="91"/>
      <c r="E57" s="91" t="s">
        <v>19</v>
      </c>
      <c r="F57" s="91" t="s">
        <v>20</v>
      </c>
      <c r="G57" s="91" t="s">
        <v>21</v>
      </c>
      <c r="H57" s="91" t="s">
        <v>22</v>
      </c>
      <c r="I57" s="91" t="s">
        <v>23</v>
      </c>
      <c r="J57" s="91" t="s">
        <v>24</v>
      </c>
      <c r="K57" s="91" t="s">
        <v>25</v>
      </c>
      <c r="L57" s="91" t="s">
        <v>26</v>
      </c>
      <c r="M57" s="91" t="s">
        <v>27</v>
      </c>
      <c r="N57" s="91" t="s">
        <v>28</v>
      </c>
    </row>
    <row r="58" spans="1:15" ht="11" thickBot="1">
      <c r="A58" s="106" t="s">
        <v>262</v>
      </c>
      <c r="C58" s="4"/>
      <c r="E58" s="4"/>
      <c r="F58" s="4"/>
      <c r="G58" s="4"/>
      <c r="H58" s="4"/>
      <c r="I58" s="4"/>
      <c r="J58" s="4"/>
      <c r="K58" s="4"/>
      <c r="L58" s="4"/>
      <c r="M58" s="4"/>
      <c r="N58" s="4"/>
      <c r="O58" s="105"/>
    </row>
    <row r="59" spans="1:15" ht="11" thickBot="1">
      <c r="A59" s="5" t="s">
        <v>263</v>
      </c>
      <c r="C59" s="68">
        <f>C$55</f>
        <v>160.31298723359157</v>
      </c>
      <c r="E59" s="68">
        <f t="shared" ref="E59:N59" si="17">E$55</f>
        <v>330.79999999999995</v>
      </c>
      <c r="F59" s="68">
        <f t="shared" si="17"/>
        <v>164.0000399999999</v>
      </c>
      <c r="G59" s="68">
        <f t="shared" si="17"/>
        <v>183.35203000000004</v>
      </c>
      <c r="H59" s="68">
        <f t="shared" si="17"/>
        <v>68.466917648440159</v>
      </c>
      <c r="I59" s="68">
        <f t="shared" si="17"/>
        <v>90.094322039355006</v>
      </c>
      <c r="J59" s="68">
        <f t="shared" si="17"/>
        <v>147.94237661975964</v>
      </c>
      <c r="K59" s="68">
        <f t="shared" si="17"/>
        <v>300.76257525318141</v>
      </c>
      <c r="L59" s="68">
        <f t="shared" si="17"/>
        <v>541.46634494408158</v>
      </c>
      <c r="M59" s="68">
        <f t="shared" si="17"/>
        <v>671.54136730751839</v>
      </c>
      <c r="N59" s="68">
        <f t="shared" si="17"/>
        <v>734.68997304506195</v>
      </c>
    </row>
    <row r="60" spans="1:15" ht="11" thickBot="1">
      <c r="A60" s="5" t="s">
        <v>264</v>
      </c>
      <c r="C60" s="68"/>
      <c r="E60" s="68"/>
      <c r="F60" s="68"/>
      <c r="G60" s="68"/>
      <c r="H60" s="68"/>
      <c r="I60" s="68"/>
      <c r="J60" s="68"/>
      <c r="K60" s="68"/>
      <c r="L60" s="68"/>
      <c r="M60" s="68"/>
      <c r="N60" s="68"/>
    </row>
    <row r="61" spans="1:15" ht="11" thickBot="1">
      <c r="A61" s="108" t="s">
        <v>265</v>
      </c>
      <c r="C61" s="13">
        <f>SUM(C59:C60)</f>
        <v>160.31298723359157</v>
      </c>
      <c r="E61" s="13">
        <f t="shared" ref="E61:N61" si="18">SUM(E59:E60)</f>
        <v>330.79999999999995</v>
      </c>
      <c r="F61" s="13">
        <f t="shared" si="18"/>
        <v>164.0000399999999</v>
      </c>
      <c r="G61" s="13">
        <f t="shared" si="18"/>
        <v>183.35203000000004</v>
      </c>
      <c r="H61" s="13">
        <f t="shared" si="18"/>
        <v>68.466917648440159</v>
      </c>
      <c r="I61" s="13">
        <f t="shared" si="18"/>
        <v>90.094322039355006</v>
      </c>
      <c r="J61" s="13">
        <f t="shared" si="18"/>
        <v>147.94237661975964</v>
      </c>
      <c r="K61" s="13">
        <f t="shared" si="18"/>
        <v>300.76257525318141</v>
      </c>
      <c r="L61" s="13">
        <f t="shared" si="18"/>
        <v>541.46634494408158</v>
      </c>
      <c r="M61" s="13">
        <f t="shared" si="18"/>
        <v>671.54136730751839</v>
      </c>
      <c r="N61" s="13">
        <f t="shared" si="18"/>
        <v>734.68997304506195</v>
      </c>
    </row>
    <row r="62" spans="1:15" ht="5.25" customHeight="1" thickBot="1">
      <c r="A62" s="5"/>
      <c r="C62" s="68"/>
      <c r="E62" s="112"/>
      <c r="F62" s="112"/>
      <c r="G62" s="112"/>
      <c r="H62" s="112"/>
      <c r="I62" s="112"/>
      <c r="J62" s="112"/>
      <c r="K62" s="112"/>
      <c r="L62" s="112"/>
      <c r="M62" s="112"/>
      <c r="N62" s="112"/>
    </row>
    <row r="63" spans="1:15" ht="11" thickBot="1">
      <c r="A63" s="106" t="s">
        <v>266</v>
      </c>
      <c r="C63" s="4"/>
      <c r="E63" s="4"/>
      <c r="F63" s="4"/>
      <c r="G63" s="4"/>
      <c r="H63" s="4"/>
      <c r="I63" s="4"/>
      <c r="J63" s="4"/>
      <c r="K63" s="4"/>
      <c r="L63" s="4"/>
      <c r="M63" s="4"/>
      <c r="N63" s="4"/>
      <c r="O63" s="105"/>
    </row>
    <row r="64" spans="1:15" ht="11" thickBot="1">
      <c r="A64" s="5" t="s">
        <v>264</v>
      </c>
      <c r="C64" s="68"/>
      <c r="E64" s="68">
        <f>-E32</f>
        <v>0</v>
      </c>
      <c r="F64" s="68">
        <f>-F32</f>
        <v>0</v>
      </c>
      <c r="G64" s="68">
        <f>-G32</f>
        <v>0</v>
      </c>
      <c r="H64" s="68">
        <f t="shared" ref="H64:N64" si="19">-H32</f>
        <v>-243.30162124207217</v>
      </c>
      <c r="I64" s="68">
        <f t="shared" si="19"/>
        <v>0</v>
      </c>
      <c r="J64" s="68">
        <f t="shared" si="19"/>
        <v>0</v>
      </c>
      <c r="K64" s="68">
        <f t="shared" si="19"/>
        <v>0</v>
      </c>
      <c r="L64" s="68">
        <f t="shared" si="19"/>
        <v>0</v>
      </c>
      <c r="M64" s="68">
        <f t="shared" si="19"/>
        <v>0</v>
      </c>
      <c r="N64" s="68">
        <f t="shared" si="19"/>
        <v>0</v>
      </c>
    </row>
    <row r="65" spans="1:15" ht="11" thickBot="1">
      <c r="A65" s="5" t="s">
        <v>170</v>
      </c>
      <c r="C65" s="68">
        <f>-SUM(C$28:C$30)</f>
        <v>-77.513310000000004</v>
      </c>
      <c r="E65" s="68">
        <f t="shared" ref="E65:N65" si="20">-SUM(E$28:E$30)</f>
        <v>-206</v>
      </c>
      <c r="F65" s="68">
        <f t="shared" si="20"/>
        <v>-292.84199999999998</v>
      </c>
      <c r="G65" s="68">
        <f t="shared" si="20"/>
        <v>-293.46800000000002</v>
      </c>
      <c r="H65" s="68">
        <f t="shared" si="20"/>
        <v>-272.25</v>
      </c>
      <c r="I65" s="68">
        <f t="shared" si="20"/>
        <v>-585.75000000000011</v>
      </c>
      <c r="J65" s="68">
        <f t="shared" si="20"/>
        <v>-1121.6874697137439</v>
      </c>
      <c r="K65" s="68">
        <f t="shared" si="20"/>
        <v>-1836.117621675666</v>
      </c>
      <c r="L65" s="68">
        <f t="shared" si="20"/>
        <v>-2385.0637453151121</v>
      </c>
      <c r="M65" s="68">
        <f t="shared" si="20"/>
        <v>-1972.3486787592101</v>
      </c>
      <c r="N65" s="68">
        <f t="shared" si="20"/>
        <v>-1366.3740440382023</v>
      </c>
    </row>
    <row r="66" spans="1:15" ht="11" thickBot="1">
      <c r="A66" s="108" t="s">
        <v>267</v>
      </c>
      <c r="C66" s="13">
        <f>SUM(C64:C65)</f>
        <v>-77.513310000000004</v>
      </c>
      <c r="E66" s="13">
        <f t="shared" ref="E66:N66" si="21">SUM(E64:E65)</f>
        <v>-206</v>
      </c>
      <c r="F66" s="13">
        <f t="shared" si="21"/>
        <v>-292.84199999999998</v>
      </c>
      <c r="G66" s="13">
        <f t="shared" si="21"/>
        <v>-293.46800000000002</v>
      </c>
      <c r="H66" s="13">
        <f t="shared" si="21"/>
        <v>-515.5516212420722</v>
      </c>
      <c r="I66" s="13">
        <f t="shared" si="21"/>
        <v>-585.75000000000011</v>
      </c>
      <c r="J66" s="13">
        <f t="shared" si="21"/>
        <v>-1121.6874697137439</v>
      </c>
      <c r="K66" s="13">
        <f t="shared" si="21"/>
        <v>-1836.117621675666</v>
      </c>
      <c r="L66" s="13">
        <f t="shared" si="21"/>
        <v>-2385.0637453151121</v>
      </c>
      <c r="M66" s="13">
        <f t="shared" si="21"/>
        <v>-1972.3486787592101</v>
      </c>
      <c r="N66" s="13">
        <f t="shared" si="21"/>
        <v>-1366.3740440382023</v>
      </c>
    </row>
    <row r="67" spans="1:15" ht="5.25" customHeight="1" thickBot="1">
      <c r="A67" s="5"/>
      <c r="C67" s="68"/>
      <c r="E67" s="112"/>
      <c r="F67" s="112"/>
      <c r="G67" s="112"/>
      <c r="H67" s="112"/>
      <c r="I67" s="112"/>
      <c r="J67" s="112"/>
      <c r="K67" s="112"/>
      <c r="L67" s="112"/>
      <c r="M67" s="112"/>
      <c r="N67" s="112"/>
    </row>
    <row r="68" spans="1:15" ht="11" thickBot="1">
      <c r="A68" s="106" t="s">
        <v>268</v>
      </c>
      <c r="C68" s="4"/>
      <c r="E68" s="4"/>
      <c r="F68" s="4"/>
      <c r="G68" s="4"/>
      <c r="H68" s="4"/>
      <c r="I68" s="4"/>
      <c r="J68" s="4"/>
      <c r="K68" s="4"/>
      <c r="L68" s="4"/>
      <c r="M68" s="4"/>
      <c r="N68" s="4"/>
      <c r="O68" s="105"/>
    </row>
    <row r="69" spans="1:15" ht="11" thickBot="1">
      <c r="A69" s="5" t="s">
        <v>269</v>
      </c>
      <c r="C69" s="68">
        <f>C$22-C$70</f>
        <v>-19.920000000000002</v>
      </c>
      <c r="E69" s="68">
        <f>E$22-E$70-E31</f>
        <v>-125</v>
      </c>
      <c r="F69" s="68">
        <f t="shared" ref="F69:N69" si="22">F$22-F$70-F31</f>
        <v>128.84200000000001</v>
      </c>
      <c r="G69" s="68">
        <f t="shared" si="22"/>
        <v>110.116</v>
      </c>
      <c r="H69" s="68">
        <f t="shared" si="22"/>
        <v>447.08470359363213</v>
      </c>
      <c r="I69" s="68">
        <f t="shared" si="22"/>
        <v>495.65567796064505</v>
      </c>
      <c r="J69" s="68">
        <f t="shared" si="22"/>
        <v>973.74509309398456</v>
      </c>
      <c r="K69" s="68">
        <f t="shared" si="22"/>
        <v>1535.3550464224845</v>
      </c>
      <c r="L69" s="68">
        <f t="shared" si="22"/>
        <v>1843.5974003710303</v>
      </c>
      <c r="M69" s="68">
        <f t="shared" si="22"/>
        <v>1300.8073114516912</v>
      </c>
      <c r="N69" s="68">
        <f t="shared" si="22"/>
        <v>631.68407099314027</v>
      </c>
    </row>
    <row r="70" spans="1:15" ht="11" thickBot="1">
      <c r="A70" s="5" t="s">
        <v>270</v>
      </c>
      <c r="C70" s="68"/>
      <c r="E70" s="68"/>
      <c r="F70" s="68"/>
      <c r="G70" s="68"/>
      <c r="H70" s="68"/>
      <c r="I70" s="68"/>
      <c r="J70" s="68"/>
      <c r="K70" s="68"/>
      <c r="L70" s="68"/>
      <c r="M70" s="68"/>
      <c r="N70" s="68"/>
    </row>
    <row r="71" spans="1:15" ht="11" thickBot="1">
      <c r="A71" s="108" t="s">
        <v>271</v>
      </c>
      <c r="C71" s="13">
        <f>SUM(C69:C70)</f>
        <v>-19.920000000000002</v>
      </c>
      <c r="E71" s="13">
        <f t="shared" ref="E71:N71" si="23">SUM(E69:E70)</f>
        <v>-125</v>
      </c>
      <c r="F71" s="13">
        <f t="shared" si="23"/>
        <v>128.84200000000001</v>
      </c>
      <c r="G71" s="13">
        <f t="shared" si="23"/>
        <v>110.116</v>
      </c>
      <c r="H71" s="13">
        <f t="shared" si="23"/>
        <v>447.08470359363213</v>
      </c>
      <c r="I71" s="13">
        <f t="shared" si="23"/>
        <v>495.65567796064505</v>
      </c>
      <c r="J71" s="13">
        <f t="shared" si="23"/>
        <v>973.74509309398456</v>
      </c>
      <c r="K71" s="13">
        <f t="shared" si="23"/>
        <v>1535.3550464224845</v>
      </c>
      <c r="L71" s="13">
        <f t="shared" si="23"/>
        <v>1843.5974003710303</v>
      </c>
      <c r="M71" s="13">
        <f t="shared" si="23"/>
        <v>1300.8073114516912</v>
      </c>
      <c r="N71" s="13">
        <f t="shared" si="23"/>
        <v>631.68407099314027</v>
      </c>
    </row>
    <row r="72" spans="1:15" ht="5.25" customHeight="1" thickBot="1">
      <c r="A72" s="5"/>
      <c r="C72" s="112"/>
      <c r="E72" s="112"/>
      <c r="F72" s="112"/>
      <c r="G72" s="112"/>
      <c r="H72" s="112"/>
      <c r="I72" s="112"/>
      <c r="J72" s="112"/>
      <c r="K72" s="112"/>
      <c r="L72" s="112"/>
      <c r="M72" s="112"/>
      <c r="N72" s="112"/>
    </row>
    <row r="73" spans="1:15" ht="11" thickBot="1">
      <c r="A73" s="108" t="s">
        <v>272</v>
      </c>
      <c r="C73" s="13">
        <f>C61+C66+C71</f>
        <v>62.879677233591565</v>
      </c>
      <c r="E73" s="13">
        <f t="shared" ref="E73:N73" si="24">E61+E66+E71</f>
        <v>-0.20000000000004547</v>
      </c>
      <c r="F73" s="13">
        <f t="shared" si="24"/>
        <v>3.9999999927431418E-5</v>
      </c>
      <c r="G73" s="13">
        <f t="shared" si="24"/>
        <v>3.0000000023733264E-5</v>
      </c>
      <c r="H73" s="13">
        <f t="shared" si="24"/>
        <v>0</v>
      </c>
      <c r="I73" s="13">
        <f t="shared" si="24"/>
        <v>0</v>
      </c>
      <c r="J73" s="13">
        <f t="shared" si="24"/>
        <v>0</v>
      </c>
      <c r="K73" s="13">
        <f t="shared" si="24"/>
        <v>0</v>
      </c>
      <c r="L73" s="13">
        <f t="shared" si="24"/>
        <v>0</v>
      </c>
      <c r="M73" s="13">
        <f t="shared" si="24"/>
        <v>0</v>
      </c>
      <c r="N73" s="13">
        <f t="shared" si="24"/>
        <v>0</v>
      </c>
    </row>
    <row r="74" spans="1:15" ht="5.25" customHeight="1" thickBot="1">
      <c r="A74" s="5"/>
      <c r="C74" s="112"/>
      <c r="E74" s="112"/>
      <c r="F74" s="112"/>
      <c r="G74" s="112"/>
      <c r="H74" s="112"/>
      <c r="I74" s="112"/>
      <c r="J74" s="112"/>
      <c r="K74" s="112"/>
      <c r="L74" s="112"/>
      <c r="M74" s="112"/>
      <c r="N74" s="112"/>
    </row>
    <row r="75" spans="1:15" ht="11" thickBot="1">
      <c r="A75" s="108" t="s">
        <v>273</v>
      </c>
      <c r="C75" s="13">
        <f>C76-C73</f>
        <v>-62.879677233591565</v>
      </c>
      <c r="E75" s="13">
        <f>C76</f>
        <v>0</v>
      </c>
      <c r="F75" s="13">
        <f t="shared" ref="F75:N75" si="25">E76</f>
        <v>-0.20000000000004547</v>
      </c>
      <c r="G75" s="13">
        <f t="shared" si="25"/>
        <v>-0.19996000000011804</v>
      </c>
      <c r="H75" s="13">
        <f t="shared" si="25"/>
        <v>-0.19993000000009431</v>
      </c>
      <c r="I75" s="13">
        <f t="shared" si="25"/>
        <v>-0.19993000000009431</v>
      </c>
      <c r="J75" s="13">
        <f t="shared" si="25"/>
        <v>-0.19993000000009431</v>
      </c>
      <c r="K75" s="13">
        <f t="shared" si="25"/>
        <v>-0.19993000000009431</v>
      </c>
      <c r="L75" s="13">
        <f t="shared" si="25"/>
        <v>-0.19993000000009431</v>
      </c>
      <c r="M75" s="13">
        <f t="shared" si="25"/>
        <v>-0.19993000000009431</v>
      </c>
      <c r="N75" s="13">
        <f t="shared" si="25"/>
        <v>-0.19993000000009431</v>
      </c>
    </row>
    <row r="76" spans="1:15" ht="11" thickBot="1">
      <c r="A76" s="108" t="s">
        <v>274</v>
      </c>
      <c r="C76" s="13">
        <f>C80</f>
        <v>0</v>
      </c>
      <c r="E76" s="13">
        <f t="shared" ref="E76:N76" si="26">E73+E75</f>
        <v>-0.20000000000004547</v>
      </c>
      <c r="F76" s="13">
        <f t="shared" si="26"/>
        <v>-0.19996000000011804</v>
      </c>
      <c r="G76" s="13">
        <f t="shared" si="26"/>
        <v>-0.19993000000009431</v>
      </c>
      <c r="H76" s="13">
        <f t="shared" si="26"/>
        <v>-0.19993000000009431</v>
      </c>
      <c r="I76" s="13">
        <f t="shared" si="26"/>
        <v>-0.19993000000009431</v>
      </c>
      <c r="J76" s="13">
        <f t="shared" si="26"/>
        <v>-0.19993000000009431</v>
      </c>
      <c r="K76" s="13">
        <f t="shared" si="26"/>
        <v>-0.19993000000009431</v>
      </c>
      <c r="L76" s="13">
        <f t="shared" si="26"/>
        <v>-0.19993000000009431</v>
      </c>
      <c r="M76" s="13">
        <f t="shared" si="26"/>
        <v>-0.19993000000009431</v>
      </c>
      <c r="N76" s="13">
        <f t="shared" si="26"/>
        <v>-0.19993000000009431</v>
      </c>
    </row>
    <row r="77" spans="1:15" ht="11" thickBot="1"/>
    <row r="78" spans="1:15" ht="11" thickBot="1">
      <c r="A78" s="104" t="s">
        <v>275</v>
      </c>
      <c r="B78" s="91"/>
      <c r="C78" s="91" t="s">
        <v>29</v>
      </c>
      <c r="D78" s="91"/>
      <c r="E78" s="91" t="s">
        <v>19</v>
      </c>
      <c r="F78" s="91" t="s">
        <v>20</v>
      </c>
      <c r="G78" s="91" t="s">
        <v>21</v>
      </c>
      <c r="H78" s="91" t="s">
        <v>22</v>
      </c>
      <c r="I78" s="91" t="s">
        <v>23</v>
      </c>
      <c r="J78" s="91" t="s">
        <v>24</v>
      </c>
      <c r="K78" s="91" t="s">
        <v>25</v>
      </c>
      <c r="L78" s="91" t="s">
        <v>26</v>
      </c>
      <c r="M78" s="91" t="s">
        <v>27</v>
      </c>
      <c r="N78" s="91" t="s">
        <v>28</v>
      </c>
      <c r="O78" s="105"/>
    </row>
    <row r="79" spans="1:15" ht="11" thickBot="1">
      <c r="A79" s="106" t="s">
        <v>276</v>
      </c>
      <c r="C79" s="4"/>
      <c r="E79" s="4"/>
      <c r="F79" s="4"/>
      <c r="G79" s="4"/>
      <c r="H79" s="4"/>
      <c r="I79" s="4"/>
      <c r="J79" s="4"/>
      <c r="K79" s="4"/>
      <c r="L79" s="4"/>
      <c r="M79" s="4"/>
      <c r="N79" s="4"/>
      <c r="O79" s="105"/>
    </row>
    <row r="80" spans="1:15" ht="11" thickBot="1">
      <c r="A80" s="5" t="s">
        <v>277</v>
      </c>
      <c r="C80" s="68">
        <f>Input!$E$9</f>
        <v>0</v>
      </c>
      <c r="E80" s="68">
        <f t="shared" ref="E80:N80" si="27">E76</f>
        <v>-0.20000000000004547</v>
      </c>
      <c r="F80" s="68">
        <f t="shared" si="27"/>
        <v>-0.19996000000011804</v>
      </c>
      <c r="G80" s="68">
        <f t="shared" si="27"/>
        <v>-0.19993000000009431</v>
      </c>
      <c r="H80" s="68">
        <f t="shared" si="27"/>
        <v>-0.19993000000009431</v>
      </c>
      <c r="I80" s="68">
        <f t="shared" si="27"/>
        <v>-0.19993000000009431</v>
      </c>
      <c r="J80" s="68">
        <f t="shared" si="27"/>
        <v>-0.19993000000009431</v>
      </c>
      <c r="K80" s="68">
        <f t="shared" si="27"/>
        <v>-0.19993000000009431</v>
      </c>
      <c r="L80" s="68">
        <f t="shared" si="27"/>
        <v>-0.19993000000009431</v>
      </c>
      <c r="M80" s="68">
        <f t="shared" si="27"/>
        <v>-0.19993000000009431</v>
      </c>
      <c r="N80" s="68">
        <f t="shared" si="27"/>
        <v>-0.19993000000009431</v>
      </c>
    </row>
    <row r="81" spans="1:15" ht="11" thickBot="1">
      <c r="A81" s="5" t="s">
        <v>278</v>
      </c>
      <c r="C81" s="68"/>
      <c r="E81" s="68"/>
      <c r="F81" s="68"/>
      <c r="G81" s="68"/>
      <c r="H81" s="68"/>
      <c r="I81" s="68"/>
      <c r="J81" s="68"/>
      <c r="K81" s="68"/>
      <c r="L81" s="68"/>
      <c r="M81" s="68"/>
      <c r="N81" s="68"/>
    </row>
    <row r="82" spans="1:15" ht="11" thickBot="1">
      <c r="A82" s="5" t="s">
        <v>279</v>
      </c>
      <c r="C82" s="68">
        <f>Input!$E$7-Input!$E$8</f>
        <v>26796.286</v>
      </c>
      <c r="E82" s="68">
        <f>$C$82-E$47+SUM(E$28:E$30)+E$52</f>
        <v>27422.582008000001</v>
      </c>
      <c r="F82" s="68">
        <f t="shared" ref="F82:N82" si="28">E$82-F$47+SUM(F$28:F$30)+F$52</f>
        <v>27551.424008000002</v>
      </c>
      <c r="G82" s="68">
        <f t="shared" si="28"/>
        <v>28943.452664244232</v>
      </c>
      <c r="H82" s="68">
        <f t="shared" si="28"/>
        <v>29032.350664244233</v>
      </c>
      <c r="I82" s="68">
        <f t="shared" si="28"/>
        <v>30882.218966621596</v>
      </c>
      <c r="J82" s="68">
        <f t="shared" si="28"/>
        <v>31788.261996335339</v>
      </c>
      <c r="K82" s="68">
        <f t="shared" si="28"/>
        <v>34909.192326127231</v>
      </c>
      <c r="L82" s="68">
        <f t="shared" si="28"/>
        <v>36992.076958856</v>
      </c>
      <c r="M82" s="68">
        <f t="shared" si="28"/>
        <v>40382.414280986108</v>
      </c>
      <c r="N82" s="68">
        <f t="shared" si="28"/>
        <v>41323.450349950479</v>
      </c>
    </row>
    <row r="83" spans="1:15" ht="11" thickBot="1">
      <c r="A83" s="5" t="s">
        <v>280</v>
      </c>
      <c r="C83" s="68"/>
      <c r="E83" s="68">
        <f>C83-E64</f>
        <v>0</v>
      </c>
      <c r="F83" s="68">
        <f>E83-F64</f>
        <v>0</v>
      </c>
      <c r="G83" s="68">
        <f t="shared" ref="G83:N83" si="29">F83-G64</f>
        <v>0</v>
      </c>
      <c r="H83" s="68">
        <f t="shared" si="29"/>
        <v>243.30162124207217</v>
      </c>
      <c r="I83" s="68">
        <f t="shared" si="29"/>
        <v>243.30162124207217</v>
      </c>
      <c r="J83" s="68">
        <f t="shared" si="29"/>
        <v>243.30162124207217</v>
      </c>
      <c r="K83" s="68">
        <f t="shared" si="29"/>
        <v>243.30162124207217</v>
      </c>
      <c r="L83" s="68">
        <f t="shared" si="29"/>
        <v>243.30162124207217</v>
      </c>
      <c r="M83" s="68">
        <f t="shared" si="29"/>
        <v>243.30162124207217</v>
      </c>
      <c r="N83" s="68">
        <f t="shared" si="29"/>
        <v>243.30162124207217</v>
      </c>
    </row>
    <row r="84" spans="1:15" ht="11" thickBot="1">
      <c r="A84" s="108" t="s">
        <v>281</v>
      </c>
      <c r="C84" s="13">
        <f>SUM(C80:C83)</f>
        <v>26796.286</v>
      </c>
      <c r="E84" s="13">
        <f t="shared" ref="E84:N84" si="30">SUM(E80:E83)</f>
        <v>27422.382008</v>
      </c>
      <c r="F84" s="13">
        <f t="shared" si="30"/>
        <v>27551.224048</v>
      </c>
      <c r="G84" s="13">
        <f t="shared" si="30"/>
        <v>28943.252734244234</v>
      </c>
      <c r="H84" s="13">
        <f t="shared" si="30"/>
        <v>29275.452355486308</v>
      </c>
      <c r="I84" s="13">
        <f t="shared" si="30"/>
        <v>31125.320657863671</v>
      </c>
      <c r="J84" s="13">
        <f t="shared" si="30"/>
        <v>32031.363687577414</v>
      </c>
      <c r="K84" s="13">
        <f t="shared" si="30"/>
        <v>35152.294017369299</v>
      </c>
      <c r="L84" s="13">
        <f t="shared" si="30"/>
        <v>37235.178650098067</v>
      </c>
      <c r="M84" s="13">
        <f t="shared" si="30"/>
        <v>40625.515972228175</v>
      </c>
      <c r="N84" s="13">
        <f t="shared" si="30"/>
        <v>41566.552041192546</v>
      </c>
    </row>
    <row r="85" spans="1:15" ht="5.25" customHeight="1" thickBot="1">
      <c r="A85" s="5"/>
      <c r="C85" s="112"/>
      <c r="E85" s="112"/>
      <c r="F85" s="112"/>
      <c r="G85" s="112"/>
      <c r="H85" s="112"/>
      <c r="I85" s="112"/>
      <c r="J85" s="112"/>
      <c r="K85" s="112"/>
      <c r="L85" s="112"/>
      <c r="M85" s="112"/>
      <c r="N85" s="112"/>
    </row>
    <row r="86" spans="1:15" ht="11" thickBot="1">
      <c r="A86" s="106" t="s">
        <v>282</v>
      </c>
      <c r="C86" s="4"/>
      <c r="E86" s="4"/>
      <c r="F86" s="4"/>
      <c r="G86" s="4"/>
      <c r="H86" s="4"/>
      <c r="I86" s="4"/>
      <c r="J86" s="4"/>
      <c r="K86" s="4"/>
      <c r="L86" s="4"/>
      <c r="M86" s="4"/>
      <c r="N86" s="4"/>
      <c r="O86" s="105"/>
    </row>
    <row r="87" spans="1:15" ht="11" thickBot="1">
      <c r="A87" s="5" t="s">
        <v>283</v>
      </c>
      <c r="C87" s="68"/>
      <c r="E87" s="68"/>
      <c r="F87" s="68"/>
      <c r="G87" s="68"/>
      <c r="H87" s="68"/>
      <c r="I87" s="68"/>
      <c r="J87" s="68"/>
      <c r="K87" s="68"/>
      <c r="L87" s="68"/>
      <c r="M87" s="68"/>
      <c r="N87" s="68"/>
    </row>
    <row r="88" spans="1:15" ht="11" thickBot="1">
      <c r="A88" s="5" t="s">
        <v>284</v>
      </c>
      <c r="C88" s="68"/>
      <c r="E88" s="68"/>
      <c r="F88" s="68"/>
      <c r="G88" s="68"/>
      <c r="H88" s="68"/>
      <c r="I88" s="68"/>
      <c r="J88" s="68"/>
      <c r="K88" s="68"/>
      <c r="L88" s="68"/>
      <c r="M88" s="68"/>
      <c r="N88" s="68"/>
    </row>
    <row r="89" spans="1:15" ht="11" thickBot="1">
      <c r="A89" s="5" t="s">
        <v>285</v>
      </c>
      <c r="C89" s="68">
        <f>Input!$E$10-C$87</f>
        <v>5.08</v>
      </c>
      <c r="E89" s="68">
        <f>$C$89+E69+E70</f>
        <v>-119.92</v>
      </c>
      <c r="F89" s="68">
        <f t="shared" ref="F89:N89" si="31">E$89+F69+F70</f>
        <v>8.9220000000000113</v>
      </c>
      <c r="G89" s="68">
        <f t="shared" si="31"/>
        <v>119.03800000000001</v>
      </c>
      <c r="H89" s="68">
        <f t="shared" si="31"/>
        <v>566.1227035936322</v>
      </c>
      <c r="I89" s="68">
        <f t="shared" si="31"/>
        <v>1061.7783815542773</v>
      </c>
      <c r="J89" s="68">
        <f t="shared" si="31"/>
        <v>2035.523474648262</v>
      </c>
      <c r="K89" s="68">
        <f t="shared" si="31"/>
        <v>3570.8785210707465</v>
      </c>
      <c r="L89" s="68">
        <f t="shared" si="31"/>
        <v>5414.4759214417772</v>
      </c>
      <c r="M89" s="68">
        <f t="shared" si="31"/>
        <v>6715.2832328934683</v>
      </c>
      <c r="N89" s="68">
        <f t="shared" si="31"/>
        <v>7346.9673038866085</v>
      </c>
    </row>
    <row r="90" spans="1:15" ht="11" thickBot="1">
      <c r="A90" s="5" t="s">
        <v>286</v>
      </c>
      <c r="C90" s="68"/>
      <c r="E90" s="68"/>
      <c r="F90" s="68"/>
      <c r="G90" s="68"/>
      <c r="H90" s="68"/>
      <c r="I90" s="68"/>
      <c r="J90" s="68"/>
      <c r="K90" s="68"/>
      <c r="L90" s="68"/>
      <c r="M90" s="68"/>
      <c r="N90" s="68"/>
    </row>
    <row r="91" spans="1:15" ht="11" thickBot="1">
      <c r="A91" s="108" t="s">
        <v>287</v>
      </c>
      <c r="C91" s="13">
        <f>SUM(C87:C90)</f>
        <v>5.08</v>
      </c>
      <c r="E91" s="13">
        <f t="shared" ref="E91:N91" si="32">SUM(E87:E90)</f>
        <v>-119.92</v>
      </c>
      <c r="F91" s="13">
        <f t="shared" si="32"/>
        <v>8.9220000000000113</v>
      </c>
      <c r="G91" s="13">
        <f t="shared" si="32"/>
        <v>119.03800000000001</v>
      </c>
      <c r="H91" s="13">
        <f t="shared" si="32"/>
        <v>566.1227035936322</v>
      </c>
      <c r="I91" s="13">
        <f t="shared" si="32"/>
        <v>1061.7783815542773</v>
      </c>
      <c r="J91" s="13">
        <f t="shared" si="32"/>
        <v>2035.523474648262</v>
      </c>
      <c r="K91" s="13">
        <f t="shared" si="32"/>
        <v>3570.8785210707465</v>
      </c>
      <c r="L91" s="13">
        <f t="shared" si="32"/>
        <v>5414.4759214417772</v>
      </c>
      <c r="M91" s="13">
        <f t="shared" si="32"/>
        <v>6715.2832328934683</v>
      </c>
      <c r="N91" s="13">
        <f t="shared" si="32"/>
        <v>7346.9673038866085</v>
      </c>
    </row>
    <row r="92" spans="1:15" ht="5.25" customHeight="1" thickBot="1">
      <c r="A92" s="5"/>
      <c r="C92" s="68"/>
      <c r="E92" s="68"/>
      <c r="F92" s="112"/>
      <c r="G92" s="112"/>
      <c r="H92" s="112"/>
      <c r="I92" s="112"/>
      <c r="J92" s="112"/>
      <c r="K92" s="112"/>
      <c r="L92" s="112"/>
      <c r="M92" s="112"/>
      <c r="N92" s="112"/>
    </row>
    <row r="93" spans="1:15" ht="11" thickBot="1">
      <c r="A93" s="108" t="s">
        <v>288</v>
      </c>
      <c r="C93" s="13">
        <f>C84-C91</f>
        <v>26791.205999999998</v>
      </c>
      <c r="E93" s="13">
        <f t="shared" ref="E93:N93" si="33">E84-E91</f>
        <v>27542.302007999999</v>
      </c>
      <c r="F93" s="13">
        <f t="shared" si="33"/>
        <v>27542.302048000001</v>
      </c>
      <c r="G93" s="13">
        <f t="shared" si="33"/>
        <v>28824.214734244233</v>
      </c>
      <c r="H93" s="13">
        <f t="shared" si="33"/>
        <v>28709.329651892676</v>
      </c>
      <c r="I93" s="13">
        <f t="shared" si="33"/>
        <v>30063.542276309392</v>
      </c>
      <c r="J93" s="13">
        <f t="shared" si="33"/>
        <v>29995.84021292915</v>
      </c>
      <c r="K93" s="13">
        <f t="shared" si="33"/>
        <v>31581.415496298552</v>
      </c>
      <c r="L93" s="13">
        <f t="shared" si="33"/>
        <v>31820.702728656288</v>
      </c>
      <c r="M93" s="13">
        <f t="shared" si="33"/>
        <v>33910.232739334708</v>
      </c>
      <c r="N93" s="13">
        <f t="shared" si="33"/>
        <v>34219.584737305937</v>
      </c>
    </row>
    <row r="94" spans="1:15" ht="5.25" customHeight="1" thickBot="1">
      <c r="A94" s="5"/>
      <c r="C94" s="112"/>
      <c r="E94" s="112"/>
      <c r="F94" s="112"/>
      <c r="G94" s="112"/>
      <c r="H94" s="112"/>
      <c r="I94" s="112"/>
      <c r="J94" s="112"/>
      <c r="K94" s="112"/>
      <c r="L94" s="112"/>
      <c r="M94" s="112"/>
      <c r="N94" s="112"/>
    </row>
    <row r="95" spans="1:15" ht="11" thickBot="1">
      <c r="A95" s="106" t="s">
        <v>289</v>
      </c>
      <c r="C95" s="4"/>
      <c r="E95" s="4"/>
      <c r="F95" s="4"/>
      <c r="G95" s="4"/>
      <c r="H95" s="4"/>
      <c r="I95" s="4"/>
      <c r="J95" s="4"/>
      <c r="K95" s="4"/>
      <c r="L95" s="4"/>
      <c r="M95" s="4"/>
      <c r="N95" s="4"/>
      <c r="O95" s="105"/>
    </row>
    <row r="96" spans="1:15" ht="11" thickBot="1">
      <c r="A96" s="5" t="s">
        <v>290</v>
      </c>
      <c r="C96" s="68">
        <f>Input!$E$12</f>
        <v>0</v>
      </c>
      <c r="E96" s="68">
        <f>$C$96+E$52</f>
        <v>750.29600800000071</v>
      </c>
      <c r="F96" s="68">
        <f t="shared" ref="F96:N96" si="34">E$96+F$52</f>
        <v>750.29600800000071</v>
      </c>
      <c r="G96" s="68">
        <f t="shared" si="34"/>
        <v>2032.2086642442282</v>
      </c>
      <c r="H96" s="68">
        <f t="shared" si="34"/>
        <v>2032.2086642442282</v>
      </c>
      <c r="I96" s="68">
        <f t="shared" si="34"/>
        <v>3501.9714166215899</v>
      </c>
      <c r="J96" s="68">
        <f t="shared" si="34"/>
        <v>3501.9714166215899</v>
      </c>
      <c r="K96" s="68">
        <f t="shared" si="34"/>
        <v>5046.1180313555742</v>
      </c>
      <c r="L96" s="68">
        <f t="shared" si="34"/>
        <v>5046.1180313555742</v>
      </c>
      <c r="M96" s="68">
        <f t="shared" si="34"/>
        <v>6843.045161708962</v>
      </c>
      <c r="N96" s="68">
        <f t="shared" si="34"/>
        <v>6843.045161708962</v>
      </c>
    </row>
    <row r="97" spans="1:14" ht="11" thickBot="1">
      <c r="A97" s="5" t="s">
        <v>291</v>
      </c>
      <c r="C97" s="68">
        <f>$C$93-$C$96</f>
        <v>26791.205999999998</v>
      </c>
      <c r="E97" s="68">
        <f>$C$97+E$50</f>
        <v>26792.005999999998</v>
      </c>
      <c r="F97" s="68">
        <f t="shared" ref="F97:N97" si="35">E$97+F$50</f>
        <v>26792.006039999997</v>
      </c>
      <c r="G97" s="68">
        <f t="shared" si="35"/>
        <v>26792.006069999996</v>
      </c>
      <c r="H97" s="68">
        <f t="shared" si="35"/>
        <v>26677.120987648435</v>
      </c>
      <c r="I97" s="68">
        <f t="shared" si="35"/>
        <v>26561.570859687792</v>
      </c>
      <c r="J97" s="68">
        <f t="shared" si="35"/>
        <v>26493.86879630755</v>
      </c>
      <c r="K97" s="68">
        <f t="shared" si="35"/>
        <v>26535.297464942978</v>
      </c>
      <c r="L97" s="68">
        <f t="shared" si="35"/>
        <v>26774.584697300717</v>
      </c>
      <c r="M97" s="68">
        <f t="shared" si="35"/>
        <v>27067.187577625744</v>
      </c>
      <c r="N97" s="68">
        <f t="shared" si="35"/>
        <v>27376.539575596973</v>
      </c>
    </row>
    <row r="98" spans="1:14" ht="11" thickBot="1">
      <c r="A98" s="108" t="s">
        <v>292</v>
      </c>
      <c r="C98" s="13">
        <f>SUM(C96:C97)</f>
        <v>26791.205999999998</v>
      </c>
      <c r="E98" s="13">
        <f t="shared" ref="E98:N98" si="36">SUM(E96:E97)</f>
        <v>27542.302007999999</v>
      </c>
      <c r="F98" s="13">
        <f t="shared" si="36"/>
        <v>27542.302047999998</v>
      </c>
      <c r="G98" s="13">
        <f t="shared" si="36"/>
        <v>28824.214734244226</v>
      </c>
      <c r="H98" s="13">
        <f t="shared" si="36"/>
        <v>28709.329651892665</v>
      </c>
      <c r="I98" s="13">
        <f t="shared" si="36"/>
        <v>30063.542276309381</v>
      </c>
      <c r="J98" s="13">
        <f t="shared" si="36"/>
        <v>29995.840212929139</v>
      </c>
      <c r="K98" s="13">
        <f t="shared" si="36"/>
        <v>31581.415496298552</v>
      </c>
      <c r="L98" s="13">
        <f t="shared" si="36"/>
        <v>31820.702728656292</v>
      </c>
      <c r="M98" s="13">
        <f t="shared" si="36"/>
        <v>33910.232739334708</v>
      </c>
      <c r="N98" s="13">
        <f t="shared" si="36"/>
        <v>34219.584737305937</v>
      </c>
    </row>
  </sheetData>
  <pageMargins left="0.7" right="0.7" top="0.75" bottom="0.75" header="0.3" footer="0.3"/>
  <pageSetup paperSize="8"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113a86c99da40d58aa63fa7a6d7c24b xmlns="f3b9fd03-0889-4d51-bd8f-1187a7c244ba">
      <Terms xmlns="http://schemas.microsoft.com/office/infopath/2007/PartnerControls">
        <TermInfo xmlns="http://schemas.microsoft.com/office/infopath/2007/PartnerControls">
          <TermName xmlns="http://schemas.microsoft.com/office/infopath/2007/PartnerControls">Working Docs</TermName>
          <TermId xmlns="http://schemas.microsoft.com/office/infopath/2007/PartnerControls">0bb43b32-7ab0-45b3-a871-71680d39500b</TermId>
        </TermInfo>
      </Terms>
    </n113a86c99da40d58aa63fa7a6d7c24b>
    <ccc95de9a77e419b9f0c198cec6da4c0 xmlns="f3b9fd03-0889-4d51-bd8f-1187a7c244ba">
      <Terms xmlns="http://schemas.microsoft.com/office/infopath/2007/PartnerControls">
        <TermInfo xmlns="http://schemas.microsoft.com/office/infopath/2007/PartnerControls">
          <TermName xmlns="http://schemas.microsoft.com/office/infopath/2007/PartnerControls">SDP</TermName>
          <TermId xmlns="http://schemas.microsoft.com/office/infopath/2007/PartnerControls">13c0bb22-549c-4c9c-8b07-d7e6f134aea5</TermId>
        </TermInfo>
      </Terms>
    </ccc95de9a77e419b9f0c198cec6da4c0>
    <TaxCatchAll xmlns="f3b9fd03-0889-4d51-bd8f-1187a7c244ba">
      <Value>2</Value>
      <Value>3</Value>
    </TaxCatchAll>
    <_dlc_DocId xmlns="b51a3243-426c-4beb-8180-cc28778a799c">NPU4WK76DJ5N-1713394859-173</_dlc_DocId>
    <_dlc_DocIdUrl xmlns="b51a3243-426c-4beb-8180-cc28778a799c">
      <Url>https://martinjenkins.sharepoint.com/sites/SouthWairarapaDistrictCouncil/_layouts/15/DocIdRedir.aspx?ID=NPU4WK76DJ5N-1713394859-173</Url>
      <Description>NPU4WK76DJ5N-1713394859-173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sultant Document" ma:contentTypeID="0x0101001D6B8EECF106BB419C03AD670A4727B700BE475CB87E18FD4F82CB4FBBA713CB59" ma:contentTypeVersion="6" ma:contentTypeDescription="" ma:contentTypeScope="" ma:versionID="db08a9e1c6196b2128b7453c51bf777d">
  <xsd:schema xmlns:xsd="http://www.w3.org/2001/XMLSchema" xmlns:xs="http://www.w3.org/2001/XMLSchema" xmlns:p="http://schemas.microsoft.com/office/2006/metadata/properties" xmlns:ns2="f3b9fd03-0889-4d51-bd8f-1187a7c244ba" xmlns:ns3="b51a3243-426c-4beb-8180-cc28778a799c" targetNamespace="http://schemas.microsoft.com/office/2006/metadata/properties" ma:root="true" ma:fieldsID="a9b6e037e201671935f9927242e10f65" ns2:_="" ns3:_="">
    <xsd:import namespace="f3b9fd03-0889-4d51-bd8f-1187a7c244ba"/>
    <xsd:import namespace="b51a3243-426c-4beb-8180-cc28778a799c"/>
    <xsd:element name="properties">
      <xsd:complexType>
        <xsd:sequence>
          <xsd:element name="documentManagement">
            <xsd:complexType>
              <xsd:all>
                <xsd:element ref="ns2:ccc95de9a77e419b9f0c198cec6da4c0" minOccurs="0"/>
                <xsd:element ref="ns2:TaxCatchAll" minOccurs="0"/>
                <xsd:element ref="ns2:TaxCatchAllLabel" minOccurs="0"/>
                <xsd:element ref="ns2:n113a86c99da40d58aa63fa7a6d7c24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9fd03-0889-4d51-bd8f-1187a7c244ba" elementFormDefault="qualified">
    <xsd:import namespace="http://schemas.microsoft.com/office/2006/documentManagement/types"/>
    <xsd:import namespace="http://schemas.microsoft.com/office/infopath/2007/PartnerControls"/>
    <xsd:element name="ccc95de9a77e419b9f0c198cec6da4c0" ma:index="8" nillable="true" ma:taxonomy="true" ma:internalName="ccc95de9a77e419b9f0c198cec6da4c0" ma:taxonomyFieldName="Business_x0020_Unit" ma:displayName="Business Unit" ma:default="" ma:fieldId="{ccc95de9-a77e-419b-9f0c-198cec6da4c0}" ma:sspId="f8d9cf72-2d5d-413b-b73f-c1879ccadfcc" ma:termSetId="ec50f622-87ea-4ff2-977d-0b021d22657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1b63529-d93e-4000-9a49-bbdeabc16db6}" ma:internalName="TaxCatchAll" ma:showField="CatchAllData" ma:web="b51a3243-426c-4beb-8180-cc28778a799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1b63529-d93e-4000-9a49-bbdeabc16db6}" ma:internalName="TaxCatchAllLabel" ma:readOnly="true" ma:showField="CatchAllDataLabel" ma:web="b51a3243-426c-4beb-8180-cc28778a799c">
      <xsd:complexType>
        <xsd:complexContent>
          <xsd:extension base="dms:MultiChoiceLookup">
            <xsd:sequence>
              <xsd:element name="Value" type="dms:Lookup" maxOccurs="unbounded" minOccurs="0" nillable="true"/>
            </xsd:sequence>
          </xsd:extension>
        </xsd:complexContent>
      </xsd:complexType>
    </xsd:element>
    <xsd:element name="n113a86c99da40d58aa63fa7a6d7c24b" ma:index="12" nillable="true" ma:taxonomy="true" ma:internalName="n113a86c99da40d58aa63fa7a6d7c24b" ma:taxonomyFieldName="Doc_x0020_Type" ma:displayName="Doc Type" ma:default="" ma:fieldId="{7113a86c-99da-40d5-8aa6-3fa7a6d7c24b}" ma:taxonomyMulti="true" ma:sspId="f8d9cf72-2d5d-413b-b73f-c1879ccadfcc" ma:termSetId="7aff5c68-1d14-4315-9bda-558a19fbb4d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51a3243-426c-4beb-8180-cc28778a799c"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8d9cf72-2d5d-413b-b73f-c1879ccadfcc" ContentTypeId="0x0101001D6B8EECF106BB419C03AD670A4727B7" PreviousValue="false" LastSyncTimeStamp="2021-11-04T01:19:18.133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8F4F2-596E-4B3C-AA1D-A307533FC6B4}">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b51a3243-426c-4beb-8180-cc28778a799c"/>
    <ds:schemaRef ds:uri="f3b9fd03-0889-4d51-bd8f-1187a7c244ba"/>
    <ds:schemaRef ds:uri="http://schemas.microsoft.com/office/2006/metadata/properties"/>
  </ds:schemaRefs>
</ds:datastoreItem>
</file>

<file path=customXml/itemProps2.xml><?xml version="1.0" encoding="utf-8"?>
<ds:datastoreItem xmlns:ds="http://schemas.openxmlformats.org/officeDocument/2006/customXml" ds:itemID="{8A1A04B4-C9E4-4071-A125-86AA9E889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9fd03-0889-4d51-bd8f-1187a7c244ba"/>
    <ds:schemaRef ds:uri="b51a3243-426c-4beb-8180-cc28778a79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46BA27-E7A6-40A2-B2FE-82CA52334A49}">
  <ds:schemaRefs>
    <ds:schemaRef ds:uri="Microsoft.SharePoint.Taxonomy.ContentTypeSync"/>
  </ds:schemaRefs>
</ds:datastoreItem>
</file>

<file path=customXml/itemProps4.xml><?xml version="1.0" encoding="utf-8"?>
<ds:datastoreItem xmlns:ds="http://schemas.openxmlformats.org/officeDocument/2006/customXml" ds:itemID="{7CB9100A-A349-49E2-8A5D-30E99286CE3E}">
  <ds:schemaRefs>
    <ds:schemaRef ds:uri="http://schemas.microsoft.com/sharepoint/events"/>
  </ds:schemaRefs>
</ds:datastoreItem>
</file>

<file path=customXml/itemProps5.xml><?xml version="1.0" encoding="utf-8"?>
<ds:datastoreItem xmlns:ds="http://schemas.openxmlformats.org/officeDocument/2006/customXml" ds:itemID="{A69534D0-B186-4199-B542-981652F868A0}">
  <ds:schemaRefs>
    <ds:schemaRef ds:uri="http://schemas.microsoft.com/sharepoint/v3/contenttype/forms"/>
  </ds:schemaRefs>
</ds:datastoreItem>
</file>

<file path=docMetadata/LabelInfo.xml><?xml version="1.0" encoding="utf-8"?>
<clbl:labelList xmlns:clbl="http://schemas.microsoft.com/office/2020/mipLabelMetadata">
  <clbl:label id="{a30ee736-9350-4b29-845a-c3944302326f}" enabled="1" method="Standard" siteId="{ed6fb0f7-ec68-46f1-b035-fe5de3a025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Input</vt:lpstr>
      <vt:lpstr>0. Overview</vt:lpstr>
      <vt:lpstr>1. Charts</vt:lpstr>
      <vt:lpstr>2. Measures</vt:lpstr>
      <vt:lpstr>3. Investment</vt:lpstr>
      <vt:lpstr>4. Financials - water services</vt:lpstr>
      <vt:lpstr>5. Financials - drinking water</vt:lpstr>
      <vt:lpstr>6. Financials - wastewater</vt:lpstr>
      <vt:lpstr>7. Financials - stormwater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Gabbie</dc:creator>
  <cp:lastModifiedBy>Katherine Meerman</cp:lastModifiedBy>
  <dcterms:created xsi:type="dcterms:W3CDTF">2025-08-11T00:42:11Z</dcterms:created>
  <dcterms:modified xsi:type="dcterms:W3CDTF">2025-08-22T04:34:59Z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0x0101001D6B8EECF106BB419C03AD670A4727B700BE475CB87E18FD4F82CB4FBBA713CB59</vt:lpwstr>
  </property>
  <property fmtid="{D5CDD505-2E9C-101B-9397-08002B2CF9AE}" pid="3" name="Business_x0020_Unit">
    <vt:lpwstr>2;#SDP|13c0bb22-549c-4c9c-8b07-d7e6f134aea5</vt:lpwstr>
  </property>
  <property fmtid="{D5CDD505-2E9C-101B-9397-08002B2CF9AE}" pid="4" name="Doc_x0020_Type">
    <vt:lpwstr>3;#Working Docs|0bb43b32-7ab0-45b3-a871-71680d39500b</vt:lpwstr>
  </property>
  <property fmtid="{D5CDD505-2E9C-101B-9397-08002B2CF9AE}" pid="5" name="Business Unit">
    <vt:lpwstr>2;#SDP|13c0bb22-549c-4c9c-8b07-d7e6f134aea5</vt:lpwstr>
  </property>
  <property fmtid="{D5CDD505-2E9C-101B-9397-08002B2CF9AE}" pid="6" name="Doc Type">
    <vt:lpwstr>3;#Working Docs|0bb43b32-7ab0-45b3-a871-71680d39500b</vt:lpwstr>
  </property>
  <property fmtid="{D5CDD505-2E9C-101B-9397-08002B2CF9AE}" pid="7" name="_dlc_DocIdItemGuid">
    <vt:lpwstr>cb3256e1-fc3c-451f-8256-6a4049fb1684</vt:lpwstr>
  </property>
</Properties>
</file>