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sthwaidc-my.sharepoint.com/personal/katherine_meerman_swdc_govt_nz/Documents/LWDW/WSDP/TDC/Finals for DIA/"/>
    </mc:Choice>
  </mc:AlternateContent>
  <xr:revisionPtr revIDLastSave="0" documentId="8_{588D82CA-01E6-4929-A4B5-2FD0E8025B0C}" xr6:coauthVersionLast="47" xr6:coauthVersionMax="47" xr10:uidLastSave="{00000000-0000-0000-0000-000000000000}"/>
  <bookViews>
    <workbookView xWindow="-110" yWindow="-110" windowWidth="19420" windowHeight="11500" tabRatio="846" firstSheet="2" activeTab="2" xr2:uid="{9018042A-6A88-4445-98C7-CD018DA87A31}"/>
  </bookViews>
  <sheets>
    <sheet name="0. Overview" sheetId="2" r:id="rId1"/>
    <sheet name="Input" sheetId="1" r:id="rId2"/>
    <sheet name="1. Charts" sheetId="3" r:id="rId3"/>
    <sheet name="2. Measures" sheetId="4" r:id="rId4"/>
    <sheet name="3. Investment" sheetId="5" r:id="rId5"/>
    <sheet name="4. Financials - water services" sheetId="6" r:id="rId6"/>
    <sheet name="5. Financials - drinking water" sheetId="7" r:id="rId7"/>
    <sheet name="6. Financials - wastewater" sheetId="8" r:id="rId8"/>
    <sheet name="7. Financials - stormwater" sheetId="9" r:id="rId9"/>
  </sheets>
  <definedNames>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8</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"w/ RR"</definedName>
    <definedName name="_AtRisk_SimSetting_SimName002" hidden="1">"w/o RR"</definedName>
    <definedName name="_AtRisk_SimSetting_SimNameCount" hidden="1">2</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0</definedName>
    <definedName name="ATAPCapexOpex" hidden="1">#REF!</definedName>
    <definedName name="ATAPcapexopex2" hidden="1">#REF!</definedName>
    <definedName name="BEx3C7U5X9PCZMFNJM2JSKB9WDC7" hidden="1">#REF!</definedName>
    <definedName name="BEx5ACW0C7GHN0W44M0V4M2N9NWX" hidden="1">#REF!</definedName>
    <definedName name="BEx5FCUYVCUTGP1DC9R2HMJUSKG7" hidden="1">#REF!</definedName>
    <definedName name="BEx787B3P3B4TRLFQH4FKDM9IVFG" hidden="1">#REF!</definedName>
    <definedName name="BEx9EYJR8RIJJYIC2A87I2KSW8VH" hidden="1">#REF!</definedName>
    <definedName name="BExCY5OFHG90Y9L640YYX6E4JIHA" hidden="1">#REF!</definedName>
    <definedName name="BExEO7F973V6G4LOTL4G4P982B15" hidden="1">#REF!</definedName>
    <definedName name="BExQ5813K86IYCMNBRXPB9X0YHE2" hidden="1">#REF!</definedName>
    <definedName name="BExS748XJ69KL1ZMS091A8XEL5H8" hidden="1">#REF!</definedName>
    <definedName name="BExTYYVS8XNTRGK2F7W4ER905OSW" hidden="1">#REF!</definedName>
    <definedName name="BExY13TSMHDZBN633U4NULAC5YAM" hidden="1">#REF!</definedName>
    <definedName name="CIQWBGuid" hidden="1">"2e01d50b-fca5-4167-af39-6d15e401e13d"</definedName>
    <definedName name="Composition" hidden="1">#REF!</definedName>
    <definedName name="Dir.T">#REF!</definedName>
    <definedName name="EPMWorkbookOptions_2" hidden="1">"gGGWdGa6m4ihZStvN9EEFsOuhmQwiaYUJ2Pex0B7FIbA83lQ4tMQGv27Xrf/taebj7LUf1oGxSgazCIPyyU09Z4DRHxGEYmjkLLSKHxhJfJzrhEHkSf+6D/1Opppts1vTsvodPjfmtvX9f7jV4d/HqIghtVvVZyXuC5Yi6IAe2jD3IMLT3Nks2w0L/1orKrZGnzh5NrcgvhuVwv7PpAmngCJk1Lfl67LjDMarnLG4WyVQw+DkDYYnYIq5nTs"</definedName>
    <definedName name="EPMWorkbookOptions_3" hidden="1">"C01mkRO5M7tlIKeFwSu7Qy8hxYzXlazFIninbyu+hUfjgP8wBwJOHPgtDBRRb4zXefZqDqjnDtOYbUwov38r0WrW7xt+qGpTd0/w31NInNQ11/hm2d9VMa93X5LFEvJNpCLJ5bq8kSBvcZNYi/pAG5IqLj7kZo+jAL31aBgBZW8NuVKtDGEwLFaqvlJUrobXxXoFoCghuFL8QU2pDcrzkbNROYk7KF6tXBcmA74t5siylOcKuGQRv2HTU+ri"</definedName>
    <definedName name="EPMWorkbookOptions_4" hidden="1">"j9JTT7MN023J/OODYTtty+T7wU7EO5lTpt7W0gLfWm8IDm6FOTvC1kO5f3UPi1XF/XNWxUPM21j/Pwer5bhGp+ueDqskKXVJOpxV+QxZXZqYZZX/p5Zcy9U6F1pzyzyR1r7u2ifTWi5XKoqiHE7r1XnSOjcxSys/6syB1VzHbV6AzS3zBGCblt53v/eMk4Gt1mSpXq8dDmz5/IBNTcwCa1pN9wJqbpkngNqzrbv2x/ZWfhKoVsvlI44Cyvmx"</definedName>
    <definedName name="EPMWorkbookOptions_5" hidden="1">"uvYxSyt/UbZM48Jrbpkn8Grz9/L+xw6uR79lVc4P15WNu0fXszgJ/GZfjJok8Zed62sp+fq/u/PfeZzddvf0M9LxT3L1/J7kuYM7D3G1dHkB/a2cPmide+NDB/rjYa2dH6wrGzmm/FuSL1tpfpknINo1NOfeNpx/kdD6+RGaurgAtGfYbavZ1i+UHiPKVJMvUsW8O7hMayrn2XZvLzcbd288VRuGFOKxRawISHrtlG1MdHoAiM6TWsRBL5Aq"</definedName>
    <definedName name="EPMWorkbookOptions_6" hidden="1">"t5sTbXq1y9lkiY2percj0bfjB0QxGgTQBTpay3faP39a51jeGzf+AQtEER9yHgAA"</definedName>
    <definedName name="Files.T">#REF!</definedName>
    <definedName name="fujdr" hidden="1">#REF!</definedName>
    <definedName name="Header1" hidden="1">IF(COUNTA(#REF!)=0,0,INDEX(#REF!,MATCH(ROW(#REF!),#REF!,TRUE)))+1</definedName>
    <definedName name="Header1a" hidden="1">IF(COUNTA(#REF!)=0,0,INDEX(#REF!,MATCH(ROW(#REF!),#REF!,TRUE)))+1</definedName>
    <definedName name="Header2" hidden="1">[0]!Header1-1 &amp; "." &amp; MAX(1,COUNTA(INDEX(#REF!,MATCH([0]!Header1-1,#REF!,FALSE)):#REF!))</definedName>
    <definedName name="new" hidden="1">#REF!</definedName>
    <definedName name="None" hidden="1">#REF!</definedName>
    <definedName name="Notes" hidden="1">#REF!</definedName>
    <definedName name="Pal_Workbook_GUID" hidden="1">"CZ72BL2B7TGECH77C7SIAT28"</definedName>
    <definedName name="q"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"PBW"</definedName>
    <definedName name="SAPBEXwbID" hidden="1">"54QB92NN890G0XIM9CTQ7UFMA"</definedName>
    <definedName name="SAPBEXwbID2" hidden="1">"6J5BT80W4VZS0T71W225L5TOU"</definedName>
    <definedName name="Sheet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3" i="9" l="1"/>
  <c r="L33" i="8"/>
  <c r="L33" i="7"/>
  <c r="L33" i="6"/>
  <c r="G33" i="3"/>
  <c r="H33" i="3"/>
  <c r="C30" i="3"/>
  <c r="D30" i="3"/>
  <c r="E30" i="3"/>
  <c r="F30" i="3"/>
  <c r="G30" i="3"/>
  <c r="H30" i="3"/>
  <c r="I30" i="3"/>
  <c r="J30" i="3"/>
  <c r="K30" i="3"/>
  <c r="B30" i="3"/>
  <c r="F93" i="4"/>
  <c r="G93" i="4"/>
  <c r="H93" i="4"/>
  <c r="I93" i="4"/>
  <c r="J93" i="4"/>
  <c r="K93" i="4"/>
  <c r="L93" i="4"/>
  <c r="M93" i="4"/>
  <c r="N93" i="4"/>
  <c r="E93" i="4"/>
  <c r="N92" i="4" l="1"/>
  <c r="M92" i="4"/>
  <c r="L92" i="4"/>
  <c r="K92" i="4"/>
  <c r="J92" i="4"/>
  <c r="I92" i="4"/>
  <c r="H92" i="4"/>
  <c r="G92" i="4"/>
  <c r="F92" i="4"/>
  <c r="E92" i="4"/>
  <c r="N91" i="4"/>
  <c r="M91" i="4"/>
  <c r="L91" i="4"/>
  <c r="K91" i="4"/>
  <c r="J91" i="4"/>
  <c r="I91" i="4"/>
  <c r="H91" i="4"/>
  <c r="G91" i="4"/>
  <c r="F91" i="4"/>
  <c r="E91" i="4"/>
  <c r="N90" i="4"/>
  <c r="M90" i="4"/>
  <c r="L90" i="4"/>
  <c r="K90" i="4"/>
  <c r="J90" i="4"/>
  <c r="I90" i="4"/>
  <c r="H90" i="4"/>
  <c r="G90" i="4"/>
  <c r="F90" i="4"/>
  <c r="E90" i="4"/>
  <c r="N89" i="4"/>
  <c r="M89" i="4"/>
  <c r="L89" i="4"/>
  <c r="K89" i="4"/>
  <c r="J89" i="4"/>
  <c r="I89" i="4"/>
  <c r="H89" i="4"/>
  <c r="G89" i="4"/>
  <c r="F89" i="4"/>
  <c r="E89" i="4"/>
  <c r="N107" i="4" l="1"/>
  <c r="M107" i="4"/>
  <c r="L107" i="4"/>
  <c r="K107" i="4"/>
  <c r="J107" i="4"/>
  <c r="I107" i="4"/>
  <c r="H107" i="4"/>
  <c r="G107" i="4"/>
  <c r="F107" i="4"/>
  <c r="E107" i="4"/>
  <c r="N100" i="4"/>
  <c r="M100" i="4"/>
  <c r="L100" i="4"/>
  <c r="K100" i="4"/>
  <c r="J100" i="4"/>
  <c r="I100" i="4"/>
  <c r="H100" i="4"/>
  <c r="G100" i="4"/>
  <c r="F100" i="4"/>
  <c r="E100" i="4"/>
  <c r="F6" i="1" l="1"/>
  <c r="F4" i="1"/>
  <c r="C96" i="9" l="1"/>
  <c r="E83" i="9"/>
  <c r="E83" i="6" s="1"/>
  <c r="J69" i="9"/>
  <c r="J71" i="9" s="1"/>
  <c r="I69" i="9"/>
  <c r="I71" i="9" s="1"/>
  <c r="F69" i="9"/>
  <c r="F71" i="9" s="1"/>
  <c r="C69" i="9"/>
  <c r="C71" i="9" s="1"/>
  <c r="M65" i="9"/>
  <c r="M66" i="9" s="1"/>
  <c r="J65" i="9"/>
  <c r="J66" i="9" s="1"/>
  <c r="I65" i="9"/>
  <c r="I66" i="9" s="1"/>
  <c r="H65" i="9"/>
  <c r="G65" i="9"/>
  <c r="G66" i="9" s="1"/>
  <c r="F65" i="9"/>
  <c r="F66" i="9" s="1"/>
  <c r="E65" i="9"/>
  <c r="E66" i="9" s="1"/>
  <c r="N46" i="9"/>
  <c r="M46" i="9"/>
  <c r="J46" i="9"/>
  <c r="I46" i="9"/>
  <c r="H46" i="9"/>
  <c r="F46" i="9"/>
  <c r="E46" i="9"/>
  <c r="M45" i="9"/>
  <c r="I45" i="9"/>
  <c r="H45" i="9"/>
  <c r="G45" i="9"/>
  <c r="F45" i="9"/>
  <c r="N44" i="9"/>
  <c r="I44" i="9"/>
  <c r="G44" i="9"/>
  <c r="E44" i="9"/>
  <c r="J41" i="9"/>
  <c r="I41" i="9"/>
  <c r="H41" i="9"/>
  <c r="F41" i="9"/>
  <c r="E41" i="9"/>
  <c r="C41" i="9"/>
  <c r="N33" i="9"/>
  <c r="M33" i="9"/>
  <c r="J33" i="9"/>
  <c r="G33" i="9"/>
  <c r="F33" i="9"/>
  <c r="P32" i="9"/>
  <c r="H64" i="9"/>
  <c r="P31" i="9"/>
  <c r="N65" i="9"/>
  <c r="N66" i="9" s="1"/>
  <c r="I33" i="9"/>
  <c r="E33" i="9"/>
  <c r="N25" i="9"/>
  <c r="H25" i="9"/>
  <c r="G25" i="9"/>
  <c r="F25" i="9"/>
  <c r="E25" i="9"/>
  <c r="P24" i="9"/>
  <c r="P23" i="9"/>
  <c r="K23" i="6"/>
  <c r="P22" i="9"/>
  <c r="E69" i="9"/>
  <c r="E71" i="9" s="1"/>
  <c r="P21" i="9"/>
  <c r="P20" i="9"/>
  <c r="N41" i="9"/>
  <c r="J25" i="9"/>
  <c r="I25" i="9"/>
  <c r="G41" i="9"/>
  <c r="C25" i="9"/>
  <c r="N15" i="9"/>
  <c r="J15" i="9"/>
  <c r="H15" i="9"/>
  <c r="P14" i="9"/>
  <c r="L46" i="9"/>
  <c r="K46" i="9"/>
  <c r="G46" i="9"/>
  <c r="P13" i="9"/>
  <c r="C46" i="9"/>
  <c r="N45" i="9"/>
  <c r="M12" i="6"/>
  <c r="M79" i="4" s="1"/>
  <c r="L45" i="9"/>
  <c r="K45" i="9"/>
  <c r="J45" i="9"/>
  <c r="E45" i="9"/>
  <c r="I15" i="9"/>
  <c r="G15" i="9"/>
  <c r="M8" i="9"/>
  <c r="L8" i="9"/>
  <c r="G7" i="6"/>
  <c r="G6" i="6"/>
  <c r="P6" i="9"/>
  <c r="K8" i="9"/>
  <c r="J6" i="4"/>
  <c r="N8" i="9"/>
  <c r="N40" i="9" s="1"/>
  <c r="I8" i="9"/>
  <c r="F8" i="9"/>
  <c r="C8" i="9"/>
  <c r="C96" i="8"/>
  <c r="E83" i="8"/>
  <c r="F83" i="8" s="1"/>
  <c r="G83" i="8" s="1"/>
  <c r="K69" i="8"/>
  <c r="K71" i="8" s="1"/>
  <c r="H69" i="8"/>
  <c r="H71" i="8" s="1"/>
  <c r="K65" i="8"/>
  <c r="K66" i="8" s="1"/>
  <c r="F65" i="8"/>
  <c r="F66" i="8" s="1"/>
  <c r="E65" i="8"/>
  <c r="E66" i="8" s="1"/>
  <c r="L52" i="8"/>
  <c r="J52" i="8"/>
  <c r="I47" i="8"/>
  <c r="N46" i="8"/>
  <c r="M46" i="8"/>
  <c r="J46" i="8"/>
  <c r="H46" i="8"/>
  <c r="F46" i="8"/>
  <c r="E46" i="8"/>
  <c r="J45" i="8"/>
  <c r="I45" i="8"/>
  <c r="G45" i="8"/>
  <c r="F45" i="8"/>
  <c r="E45" i="8"/>
  <c r="N44" i="8"/>
  <c r="L44" i="8"/>
  <c r="J44" i="8"/>
  <c r="F44" i="8"/>
  <c r="E44" i="8"/>
  <c r="L41" i="8"/>
  <c r="H41" i="8"/>
  <c r="F41" i="8"/>
  <c r="F33" i="8"/>
  <c r="K33" i="8"/>
  <c r="H64" i="8"/>
  <c r="G32" i="6"/>
  <c r="G64" i="6" s="1"/>
  <c r="F32" i="6"/>
  <c r="F64" i="6" s="1"/>
  <c r="C32" i="6"/>
  <c r="C64" i="6" s="1"/>
  <c r="F69" i="8"/>
  <c r="F71" i="8" s="1"/>
  <c r="K11" i="5"/>
  <c r="L65" i="8"/>
  <c r="L66" i="8" s="1"/>
  <c r="J65" i="8"/>
  <c r="J66" i="8" s="1"/>
  <c r="M25" i="8"/>
  <c r="L25" i="8"/>
  <c r="K25" i="8"/>
  <c r="G25" i="8"/>
  <c r="F25" i="8"/>
  <c r="N24" i="6"/>
  <c r="P23" i="8"/>
  <c r="C23" i="6"/>
  <c r="M69" i="8"/>
  <c r="M71" i="8" s="1"/>
  <c r="L69" i="8"/>
  <c r="L71" i="8" s="1"/>
  <c r="E69" i="8"/>
  <c r="E71" i="8" s="1"/>
  <c r="P21" i="8"/>
  <c r="J21" i="6"/>
  <c r="C21" i="6"/>
  <c r="M41" i="8"/>
  <c r="K41" i="8"/>
  <c r="H25" i="8"/>
  <c r="G41" i="8"/>
  <c r="E41" i="8"/>
  <c r="N15" i="8"/>
  <c r="M15" i="8"/>
  <c r="L15" i="8"/>
  <c r="K15" i="8"/>
  <c r="J15" i="8"/>
  <c r="I15" i="8"/>
  <c r="H15" i="8"/>
  <c r="G15" i="8"/>
  <c r="P14" i="8"/>
  <c r="C14" i="6"/>
  <c r="L46" i="8"/>
  <c r="K46" i="8"/>
  <c r="I46" i="8"/>
  <c r="C46" i="8"/>
  <c r="N45" i="8"/>
  <c r="M45" i="8"/>
  <c r="L45" i="8"/>
  <c r="K45" i="8"/>
  <c r="H45" i="8"/>
  <c r="P12" i="8"/>
  <c r="C45" i="8"/>
  <c r="M44" i="8"/>
  <c r="F15" i="8"/>
  <c r="M8" i="8"/>
  <c r="M40" i="8" s="1"/>
  <c r="L8" i="8"/>
  <c r="K8" i="8"/>
  <c r="H8" i="8"/>
  <c r="G8" i="8"/>
  <c r="N7" i="6"/>
  <c r="J7" i="6"/>
  <c r="N4" i="6"/>
  <c r="F8" i="8"/>
  <c r="E8" i="8"/>
  <c r="C8" i="8"/>
  <c r="C96" i="7"/>
  <c r="E83" i="7"/>
  <c r="F83" i="7" s="1"/>
  <c r="J69" i="7"/>
  <c r="J71" i="7" s="1"/>
  <c r="C69" i="7"/>
  <c r="C71" i="7" s="1"/>
  <c r="I65" i="7"/>
  <c r="I66" i="7" s="1"/>
  <c r="H65" i="7"/>
  <c r="G65" i="7"/>
  <c r="G66" i="7" s="1"/>
  <c r="C65" i="7"/>
  <c r="C66" i="7" s="1"/>
  <c r="H64" i="7"/>
  <c r="G47" i="7"/>
  <c r="F47" i="7"/>
  <c r="N46" i="7"/>
  <c r="M46" i="7"/>
  <c r="G46" i="7"/>
  <c r="C46" i="7"/>
  <c r="N45" i="7"/>
  <c r="M45" i="7"/>
  <c r="F45" i="7"/>
  <c r="E45" i="7"/>
  <c r="C45" i="7"/>
  <c r="L44" i="7"/>
  <c r="C44" i="7"/>
  <c r="C41" i="7"/>
  <c r="N33" i="7"/>
  <c r="M33" i="7"/>
  <c r="K33" i="7"/>
  <c r="N32" i="6"/>
  <c r="N64" i="6" s="1"/>
  <c r="I32" i="6"/>
  <c r="I64" i="6" s="1"/>
  <c r="N31" i="6"/>
  <c r="K31" i="6"/>
  <c r="I31" i="6"/>
  <c r="I6" i="5"/>
  <c r="K30" i="6"/>
  <c r="C33" i="7"/>
  <c r="M25" i="7"/>
  <c r="K24" i="6"/>
  <c r="I24" i="6"/>
  <c r="H24" i="6"/>
  <c r="G24" i="6"/>
  <c r="F24" i="6"/>
  <c r="M41" i="7"/>
  <c r="H23" i="6"/>
  <c r="G23" i="6"/>
  <c r="L69" i="7"/>
  <c r="L71" i="7" s="1"/>
  <c r="K69" i="7"/>
  <c r="K71" i="7" s="1"/>
  <c r="I69" i="7"/>
  <c r="I71" i="7" s="1"/>
  <c r="G21" i="6"/>
  <c r="F21" i="6"/>
  <c r="N41" i="7"/>
  <c r="C25" i="7"/>
  <c r="L15" i="7"/>
  <c r="K15" i="7"/>
  <c r="J15" i="7"/>
  <c r="I15" i="7"/>
  <c r="N14" i="6"/>
  <c r="M14" i="6"/>
  <c r="L14" i="6"/>
  <c r="K14" i="6"/>
  <c r="J14" i="6"/>
  <c r="F14" i="6"/>
  <c r="H46" i="7"/>
  <c r="F46" i="7"/>
  <c r="J45" i="7"/>
  <c r="I45" i="7"/>
  <c r="H45" i="7"/>
  <c r="G45" i="7"/>
  <c r="C15" i="7"/>
  <c r="M8" i="7"/>
  <c r="H8" i="7"/>
  <c r="G8" i="7"/>
  <c r="M7" i="6"/>
  <c r="L7" i="6"/>
  <c r="F7" i="6"/>
  <c r="N6" i="6"/>
  <c r="K6" i="6"/>
  <c r="J6" i="6"/>
  <c r="J5" i="6"/>
  <c r="I5" i="6"/>
  <c r="M4" i="6"/>
  <c r="L4" i="6"/>
  <c r="I4" i="6"/>
  <c r="K8" i="7"/>
  <c r="K40" i="7" s="1"/>
  <c r="C8" i="7"/>
  <c r="N90" i="6"/>
  <c r="M90" i="6"/>
  <c r="L90" i="6"/>
  <c r="K90" i="6"/>
  <c r="J90" i="6"/>
  <c r="I90" i="6"/>
  <c r="H90" i="6"/>
  <c r="G90" i="6"/>
  <c r="F90" i="6"/>
  <c r="E90" i="6"/>
  <c r="C90" i="6"/>
  <c r="N88" i="6"/>
  <c r="M88" i="6"/>
  <c r="L88" i="6"/>
  <c r="K88" i="6"/>
  <c r="J88" i="6"/>
  <c r="I88" i="6"/>
  <c r="H88" i="6"/>
  <c r="G88" i="6"/>
  <c r="F88" i="6"/>
  <c r="E88" i="6"/>
  <c r="C88" i="6"/>
  <c r="N87" i="6"/>
  <c r="M87" i="6"/>
  <c r="L87" i="6"/>
  <c r="K87" i="6"/>
  <c r="J87" i="6"/>
  <c r="I87" i="6"/>
  <c r="H87" i="6"/>
  <c r="G87" i="6"/>
  <c r="F87" i="6"/>
  <c r="E87" i="6"/>
  <c r="C87" i="6"/>
  <c r="C83" i="6"/>
  <c r="N81" i="6"/>
  <c r="M81" i="6"/>
  <c r="L81" i="6"/>
  <c r="K81" i="6"/>
  <c r="J81" i="6"/>
  <c r="I81" i="6"/>
  <c r="H81" i="6"/>
  <c r="G81" i="6"/>
  <c r="F81" i="6"/>
  <c r="E81" i="6"/>
  <c r="C81" i="6"/>
  <c r="M32" i="6"/>
  <c r="M64" i="6" s="1"/>
  <c r="L32" i="6"/>
  <c r="L64" i="6" s="1"/>
  <c r="J32" i="6"/>
  <c r="J64" i="6" s="1"/>
  <c r="H32" i="6"/>
  <c r="H64" i="6" s="1"/>
  <c r="E32" i="6"/>
  <c r="E64" i="6" s="1"/>
  <c r="M31" i="6"/>
  <c r="L31" i="6"/>
  <c r="G31" i="6"/>
  <c r="F31" i="6"/>
  <c r="E31" i="6"/>
  <c r="C31" i="6"/>
  <c r="J30" i="6"/>
  <c r="H30" i="6"/>
  <c r="F30" i="6"/>
  <c r="C19" i="3" s="1"/>
  <c r="E30" i="6"/>
  <c r="C30" i="6"/>
  <c r="J29" i="6"/>
  <c r="I29" i="6"/>
  <c r="F20" i="3" s="1"/>
  <c r="G29" i="6"/>
  <c r="D20" i="3" s="1"/>
  <c r="E29" i="6"/>
  <c r="M28" i="6"/>
  <c r="I28" i="6"/>
  <c r="H28" i="6"/>
  <c r="F28" i="6"/>
  <c r="C28" i="6"/>
  <c r="M24" i="6"/>
  <c r="L24" i="6"/>
  <c r="J24" i="6"/>
  <c r="E24" i="6"/>
  <c r="C24" i="6"/>
  <c r="M23" i="6"/>
  <c r="L23" i="6"/>
  <c r="F23" i="6"/>
  <c r="E23" i="6"/>
  <c r="M22" i="6"/>
  <c r="L22" i="6"/>
  <c r="J22" i="6"/>
  <c r="I22" i="6"/>
  <c r="E22" i="6"/>
  <c r="N21" i="6"/>
  <c r="M21" i="6"/>
  <c r="I21" i="6"/>
  <c r="M20" i="6"/>
  <c r="L20" i="6"/>
  <c r="H20" i="6"/>
  <c r="F20" i="6"/>
  <c r="I14" i="6"/>
  <c r="H14" i="6"/>
  <c r="N13" i="6"/>
  <c r="N46" i="6" s="1"/>
  <c r="L13" i="6"/>
  <c r="L46" i="6" s="1"/>
  <c r="H13" i="6"/>
  <c r="H46" i="6" s="1"/>
  <c r="G13" i="6"/>
  <c r="G46" i="6" s="1"/>
  <c r="F13" i="6"/>
  <c r="F46" i="6" s="1"/>
  <c r="C13" i="6"/>
  <c r="C46" i="6" s="1"/>
  <c r="N12" i="6"/>
  <c r="J12" i="6"/>
  <c r="J79" i="4" s="1"/>
  <c r="I12" i="6"/>
  <c r="I79" i="4" s="1"/>
  <c r="H12" i="6"/>
  <c r="H79" i="4" s="1"/>
  <c r="F12" i="6"/>
  <c r="F79" i="4" s="1"/>
  <c r="E12" i="6"/>
  <c r="E79" i="4" s="1"/>
  <c r="C12" i="6"/>
  <c r="C45" i="6" s="1"/>
  <c r="M11" i="6"/>
  <c r="I11" i="6"/>
  <c r="H11" i="6"/>
  <c r="F11" i="6"/>
  <c r="E11" i="6"/>
  <c r="K7" i="6"/>
  <c r="H7" i="6"/>
  <c r="E7" i="6"/>
  <c r="C7" i="6"/>
  <c r="M6" i="6"/>
  <c r="L6" i="6"/>
  <c r="F6" i="6"/>
  <c r="C6" i="6"/>
  <c r="M5" i="6"/>
  <c r="L5" i="6"/>
  <c r="K5" i="6"/>
  <c r="H5" i="6"/>
  <c r="F5" i="6"/>
  <c r="C5" i="6"/>
  <c r="K4" i="6"/>
  <c r="H4" i="6"/>
  <c r="G4" i="6"/>
  <c r="F4" i="6"/>
  <c r="C4" i="6"/>
  <c r="M3" i="6"/>
  <c r="L3" i="6"/>
  <c r="K3" i="6"/>
  <c r="H3" i="6"/>
  <c r="G3" i="6"/>
  <c r="F3" i="6"/>
  <c r="E3" i="6"/>
  <c r="C3" i="6"/>
  <c r="D94" i="5"/>
  <c r="C94" i="5"/>
  <c r="B94" i="5"/>
  <c r="K92" i="5"/>
  <c r="J92" i="5"/>
  <c r="I92" i="5"/>
  <c r="H92" i="5"/>
  <c r="G92" i="5"/>
  <c r="F92" i="5"/>
  <c r="E92" i="5"/>
  <c r="D92" i="5"/>
  <c r="C92" i="5"/>
  <c r="B92" i="5"/>
  <c r="K86" i="5"/>
  <c r="J86" i="5"/>
  <c r="I86" i="5"/>
  <c r="H86" i="5"/>
  <c r="G86" i="5"/>
  <c r="F86" i="5"/>
  <c r="E86" i="5"/>
  <c r="D86" i="5"/>
  <c r="C86" i="5"/>
  <c r="B86" i="5"/>
  <c r="K80" i="5"/>
  <c r="J80" i="5"/>
  <c r="I80" i="5"/>
  <c r="H80" i="5"/>
  <c r="H94" i="5" s="1"/>
  <c r="G80" i="5"/>
  <c r="G94" i="5" s="1"/>
  <c r="F80" i="5"/>
  <c r="F94" i="5" s="1"/>
  <c r="E80" i="5"/>
  <c r="E94" i="5" s="1"/>
  <c r="D80" i="5"/>
  <c r="C80" i="5"/>
  <c r="B80" i="5"/>
  <c r="E72" i="5"/>
  <c r="D72" i="5"/>
  <c r="C72" i="5"/>
  <c r="B72" i="5"/>
  <c r="K70" i="5"/>
  <c r="J70" i="5"/>
  <c r="I70" i="5"/>
  <c r="H70" i="5"/>
  <c r="G70" i="5"/>
  <c r="F70" i="5"/>
  <c r="E70" i="5"/>
  <c r="D70" i="5"/>
  <c r="C70" i="5"/>
  <c r="B70" i="5"/>
  <c r="K64" i="5"/>
  <c r="J64" i="5"/>
  <c r="I64" i="5"/>
  <c r="H64" i="5"/>
  <c r="G64" i="5"/>
  <c r="F64" i="5"/>
  <c r="E64" i="5"/>
  <c r="D64" i="5"/>
  <c r="C64" i="5"/>
  <c r="B64" i="5"/>
  <c r="K58" i="5"/>
  <c r="J58" i="5"/>
  <c r="I58" i="5"/>
  <c r="H58" i="5"/>
  <c r="G58" i="5"/>
  <c r="G72" i="5" s="1"/>
  <c r="F58" i="5"/>
  <c r="F72" i="5" s="1"/>
  <c r="E58" i="5"/>
  <c r="D58" i="5"/>
  <c r="C58" i="5"/>
  <c r="B58" i="5"/>
  <c r="H50" i="5"/>
  <c r="G50" i="5"/>
  <c r="F50" i="5"/>
  <c r="E50" i="5"/>
  <c r="D50" i="5"/>
  <c r="K48" i="5"/>
  <c r="J48" i="5"/>
  <c r="I48" i="5"/>
  <c r="H48" i="5"/>
  <c r="G48" i="5"/>
  <c r="F48" i="5"/>
  <c r="E48" i="5"/>
  <c r="D48" i="5"/>
  <c r="C48" i="5"/>
  <c r="B48" i="5"/>
  <c r="K42" i="5"/>
  <c r="J42" i="5"/>
  <c r="I42" i="5"/>
  <c r="H42" i="5"/>
  <c r="G42" i="5"/>
  <c r="F42" i="5"/>
  <c r="E42" i="5"/>
  <c r="D42" i="5"/>
  <c r="C42" i="5"/>
  <c r="B42" i="5"/>
  <c r="K36" i="5"/>
  <c r="K50" i="5" s="1"/>
  <c r="J36" i="5"/>
  <c r="J50" i="5" s="1"/>
  <c r="I36" i="5"/>
  <c r="I50" i="5" s="1"/>
  <c r="H36" i="5"/>
  <c r="G36" i="5"/>
  <c r="F36" i="5"/>
  <c r="E36" i="5"/>
  <c r="D36" i="5"/>
  <c r="C36" i="5"/>
  <c r="B36" i="5"/>
  <c r="I28" i="5"/>
  <c r="H28" i="5"/>
  <c r="G28" i="5"/>
  <c r="F28" i="5"/>
  <c r="I27" i="5"/>
  <c r="D28" i="5"/>
  <c r="I26" i="5"/>
  <c r="K18" i="5"/>
  <c r="J18" i="5"/>
  <c r="I18" i="5"/>
  <c r="H18" i="5"/>
  <c r="G18" i="5"/>
  <c r="F18" i="5"/>
  <c r="E18" i="5"/>
  <c r="D18" i="5"/>
  <c r="C18" i="5"/>
  <c r="B18" i="5"/>
  <c r="J17" i="5"/>
  <c r="I17" i="5"/>
  <c r="H17" i="5"/>
  <c r="G17" i="5"/>
  <c r="F17" i="5"/>
  <c r="E17" i="5"/>
  <c r="D17" i="5"/>
  <c r="C17" i="5"/>
  <c r="B17" i="5"/>
  <c r="K16" i="5"/>
  <c r="J16" i="5"/>
  <c r="I16" i="5"/>
  <c r="H16" i="5"/>
  <c r="G16" i="5"/>
  <c r="F16" i="5"/>
  <c r="E16" i="5"/>
  <c r="D16" i="5"/>
  <c r="C16" i="5"/>
  <c r="B16" i="5"/>
  <c r="J12" i="5"/>
  <c r="I12" i="5"/>
  <c r="H12" i="5"/>
  <c r="G12" i="5"/>
  <c r="E12" i="5"/>
  <c r="D12" i="5"/>
  <c r="C12" i="5"/>
  <c r="B12" i="5"/>
  <c r="I11" i="5"/>
  <c r="H11" i="5"/>
  <c r="G11" i="5"/>
  <c r="F11" i="5"/>
  <c r="D11" i="5"/>
  <c r="C11" i="5"/>
  <c r="B11" i="5"/>
  <c r="K10" i="5"/>
  <c r="J10" i="5"/>
  <c r="I10" i="5"/>
  <c r="H10" i="5"/>
  <c r="G10" i="5"/>
  <c r="F10" i="5"/>
  <c r="E10" i="5"/>
  <c r="C10" i="5"/>
  <c r="B10" i="5"/>
  <c r="H6" i="5"/>
  <c r="G6" i="5"/>
  <c r="F6" i="5"/>
  <c r="E6" i="5"/>
  <c r="C6" i="5"/>
  <c r="B6" i="5"/>
  <c r="K5" i="5"/>
  <c r="J5" i="5"/>
  <c r="I5" i="5"/>
  <c r="G5" i="5"/>
  <c r="F5" i="5"/>
  <c r="E5" i="5"/>
  <c r="D5" i="5"/>
  <c r="B5" i="5"/>
  <c r="K4" i="5"/>
  <c r="J4" i="5"/>
  <c r="I4" i="5"/>
  <c r="H4" i="5"/>
  <c r="G4" i="5"/>
  <c r="F4" i="5"/>
  <c r="E4" i="5"/>
  <c r="D4" i="5"/>
  <c r="N62" i="4"/>
  <c r="M62" i="4"/>
  <c r="L62" i="4"/>
  <c r="K62" i="4"/>
  <c r="J62" i="4"/>
  <c r="I62" i="4"/>
  <c r="F62" i="4"/>
  <c r="E62" i="4"/>
  <c r="C62" i="4"/>
  <c r="C44" i="4"/>
  <c r="N12" i="4"/>
  <c r="M12" i="4"/>
  <c r="L12" i="4"/>
  <c r="K12" i="4"/>
  <c r="J12" i="4"/>
  <c r="J10" i="4"/>
  <c r="I10" i="4"/>
  <c r="H10" i="4"/>
  <c r="G10" i="4"/>
  <c r="H6" i="4"/>
  <c r="G6" i="4"/>
  <c r="F6" i="4"/>
  <c r="E6" i="4"/>
  <c r="C6" i="4"/>
  <c r="F5" i="4"/>
  <c r="E5" i="4"/>
  <c r="C5" i="4"/>
  <c r="M4" i="4"/>
  <c r="L4" i="4"/>
  <c r="G4" i="4"/>
  <c r="K7" i="3"/>
  <c r="J7" i="3"/>
  <c r="I7" i="3"/>
  <c r="H7" i="3"/>
  <c r="J6" i="3"/>
  <c r="I6" i="3"/>
  <c r="H6" i="3"/>
  <c r="G6" i="3"/>
  <c r="F6" i="3"/>
  <c r="E6" i="3"/>
  <c r="C12" i="4"/>
  <c r="I12" i="4"/>
  <c r="H12" i="4"/>
  <c r="G12" i="4"/>
  <c r="F12" i="4"/>
  <c r="E12" i="4"/>
  <c r="N6" i="4"/>
  <c r="M6" i="4"/>
  <c r="L6" i="4"/>
  <c r="K6" i="4"/>
  <c r="I6" i="4"/>
  <c r="M5" i="4"/>
  <c r="L5" i="4"/>
  <c r="K10" i="4"/>
  <c r="H5" i="4"/>
  <c r="G5" i="4"/>
  <c r="F10" i="4"/>
  <c r="K4" i="4"/>
  <c r="J4" i="4"/>
  <c r="F4" i="4"/>
  <c r="N41" i="1"/>
  <c r="N40" i="1"/>
  <c r="C52" i="9"/>
  <c r="N52" i="9"/>
  <c r="M52" i="9"/>
  <c r="L52" i="9"/>
  <c r="K52" i="9"/>
  <c r="J52" i="9"/>
  <c r="I52" i="9"/>
  <c r="H52" i="9"/>
  <c r="G52" i="9"/>
  <c r="F52" i="9"/>
  <c r="E52" i="9"/>
  <c r="C52" i="8"/>
  <c r="N52" i="8"/>
  <c r="M52" i="8"/>
  <c r="K52" i="8"/>
  <c r="I52" i="8"/>
  <c r="H52" i="8"/>
  <c r="G52" i="8"/>
  <c r="F52" i="8"/>
  <c r="E52" i="8"/>
  <c r="C52" i="7"/>
  <c r="N52" i="7"/>
  <c r="M52" i="7"/>
  <c r="L52" i="7"/>
  <c r="K52" i="7"/>
  <c r="J52" i="7"/>
  <c r="I52" i="7"/>
  <c r="H52" i="7"/>
  <c r="G52" i="7"/>
  <c r="F52" i="7"/>
  <c r="E52" i="7"/>
  <c r="C47" i="9"/>
  <c r="N47" i="9"/>
  <c r="M47" i="9"/>
  <c r="L47" i="9"/>
  <c r="K47" i="9"/>
  <c r="J47" i="9"/>
  <c r="I47" i="9"/>
  <c r="H47" i="9"/>
  <c r="G47" i="9"/>
  <c r="F47" i="9"/>
  <c r="E47" i="9"/>
  <c r="C47" i="8"/>
  <c r="N47" i="8"/>
  <c r="M47" i="8"/>
  <c r="L47" i="8"/>
  <c r="K47" i="8"/>
  <c r="J47" i="8"/>
  <c r="H47" i="8"/>
  <c r="G47" i="8"/>
  <c r="F47" i="8"/>
  <c r="E47" i="8"/>
  <c r="C47" i="7"/>
  <c r="N47" i="7"/>
  <c r="M47" i="7"/>
  <c r="L47" i="7"/>
  <c r="K47" i="7"/>
  <c r="J47" i="7"/>
  <c r="I47" i="7"/>
  <c r="H47" i="7"/>
  <c r="E47" i="7"/>
  <c r="F13" i="1"/>
  <c r="F12" i="1"/>
  <c r="H62" i="4"/>
  <c r="C89" i="9"/>
  <c r="C89" i="8"/>
  <c r="C89" i="7"/>
  <c r="C80" i="9"/>
  <c r="C80" i="8"/>
  <c r="C76" i="8" s="1"/>
  <c r="C80" i="7"/>
  <c r="F8" i="1"/>
  <c r="C82" i="9"/>
  <c r="C82" i="8"/>
  <c r="C80" i="6" l="1"/>
  <c r="C76" i="6" s="1"/>
  <c r="E75" i="6" s="1"/>
  <c r="C84" i="8"/>
  <c r="F83" i="9"/>
  <c r="G83" i="9" s="1"/>
  <c r="H83" i="9" s="1"/>
  <c r="I83" i="9" s="1"/>
  <c r="J83" i="9" s="1"/>
  <c r="K83" i="9" s="1"/>
  <c r="L83" i="9" s="1"/>
  <c r="M83" i="9" s="1"/>
  <c r="N83" i="9" s="1"/>
  <c r="E96" i="9"/>
  <c r="F96" i="9" s="1"/>
  <c r="H19" i="5"/>
  <c r="H13" i="5"/>
  <c r="G7" i="5"/>
  <c r="G19" i="5"/>
  <c r="I13" i="5"/>
  <c r="F7" i="5"/>
  <c r="D19" i="5"/>
  <c r="B19" i="5"/>
  <c r="G20" i="3"/>
  <c r="E19" i="5"/>
  <c r="I19" i="5"/>
  <c r="F19" i="5"/>
  <c r="P25" i="9"/>
  <c r="I35" i="9"/>
  <c r="N42" i="9"/>
  <c r="N17" i="9"/>
  <c r="H83" i="8"/>
  <c r="I83" i="8" s="1"/>
  <c r="J83" i="8" s="1"/>
  <c r="K83" i="8" s="1"/>
  <c r="L83" i="8" s="1"/>
  <c r="M83" i="8" s="1"/>
  <c r="N83" i="8" s="1"/>
  <c r="H19" i="3"/>
  <c r="F33" i="4"/>
  <c r="B19" i="3"/>
  <c r="C13" i="5"/>
  <c r="B13" i="5"/>
  <c r="I45" i="6"/>
  <c r="F37" i="3" s="1"/>
  <c r="F17" i="8"/>
  <c r="H17" i="8"/>
  <c r="F8" i="6"/>
  <c r="F68" i="4" s="1"/>
  <c r="M17" i="8"/>
  <c r="M42" i="8"/>
  <c r="F40" i="8"/>
  <c r="F42" i="8" s="1"/>
  <c r="G19" i="3"/>
  <c r="J33" i="4"/>
  <c r="E33" i="4"/>
  <c r="C33" i="4"/>
  <c r="E7" i="5"/>
  <c r="F41" i="6"/>
  <c r="J45" i="6"/>
  <c r="G37" i="3" s="1"/>
  <c r="H45" i="6"/>
  <c r="E37" i="3" s="1"/>
  <c r="F45" i="6"/>
  <c r="C37" i="3" s="1"/>
  <c r="H69" i="4"/>
  <c r="C16" i="4"/>
  <c r="C52" i="6"/>
  <c r="M47" i="6"/>
  <c r="M34" i="4" s="1"/>
  <c r="C47" i="6"/>
  <c r="C39" i="4" s="1"/>
  <c r="I7" i="5"/>
  <c r="K33" i="4"/>
  <c r="B20" i="3"/>
  <c r="M35" i="7"/>
  <c r="H15" i="6"/>
  <c r="M45" i="6"/>
  <c r="J37" i="3" s="1"/>
  <c r="E45" i="6"/>
  <c r="B37" i="3" s="1"/>
  <c r="C79" i="4"/>
  <c r="H44" i="6"/>
  <c r="F44" i="6"/>
  <c r="M8" i="6"/>
  <c r="C8" i="6"/>
  <c r="C40" i="6" s="1"/>
  <c r="L8" i="6"/>
  <c r="K8" i="6"/>
  <c r="H16" i="4"/>
  <c r="K52" i="6"/>
  <c r="J52" i="6"/>
  <c r="L52" i="6"/>
  <c r="C48" i="7"/>
  <c r="P24" i="6"/>
  <c r="L7" i="4"/>
  <c r="D10" i="5"/>
  <c r="D13" i="5" s="1"/>
  <c r="E11" i="5"/>
  <c r="E13" i="5" s="1"/>
  <c r="H29" i="6"/>
  <c r="H38" i="4" s="1"/>
  <c r="F12" i="5"/>
  <c r="F13" i="5" s="1"/>
  <c r="I33" i="8"/>
  <c r="I30" i="6"/>
  <c r="I65" i="6" s="1"/>
  <c r="I66" i="6" s="1"/>
  <c r="J31" i="6"/>
  <c r="J69" i="6" s="1"/>
  <c r="J71" i="6" s="1"/>
  <c r="J33" i="8"/>
  <c r="P5" i="9"/>
  <c r="E5" i="6"/>
  <c r="H33" i="4"/>
  <c r="E65" i="7"/>
  <c r="E66" i="7" s="1"/>
  <c r="P28" i="7"/>
  <c r="B4" i="5"/>
  <c r="B7" i="5" s="1"/>
  <c r="E33" i="7"/>
  <c r="F29" i="6"/>
  <c r="F33" i="6" s="1"/>
  <c r="F33" i="7"/>
  <c r="G30" i="6"/>
  <c r="G33" i="7"/>
  <c r="H31" i="6"/>
  <c r="H33" i="7"/>
  <c r="I8" i="8"/>
  <c r="P3" i="8"/>
  <c r="I5" i="4"/>
  <c r="P24" i="8"/>
  <c r="L47" i="6"/>
  <c r="H72" i="5"/>
  <c r="H40" i="7"/>
  <c r="F47" i="6"/>
  <c r="J8" i="8"/>
  <c r="C69" i="8"/>
  <c r="C71" i="8" s="1"/>
  <c r="C22" i="6"/>
  <c r="E89" i="8"/>
  <c r="C91" i="8"/>
  <c r="I72" i="5"/>
  <c r="K94" i="5"/>
  <c r="I44" i="6"/>
  <c r="J21" i="3"/>
  <c r="F44" i="7"/>
  <c r="F48" i="7" s="1"/>
  <c r="G83" i="7"/>
  <c r="E52" i="6"/>
  <c r="J72" i="5"/>
  <c r="M44" i="6"/>
  <c r="E41" i="7"/>
  <c r="P20" i="7"/>
  <c r="E20" i="6"/>
  <c r="G69" i="7"/>
  <c r="G71" i="7" s="1"/>
  <c r="G22" i="6"/>
  <c r="J11" i="5"/>
  <c r="J13" i="5" s="1"/>
  <c r="K12" i="5"/>
  <c r="K13" i="5" s="1"/>
  <c r="F10" i="1"/>
  <c r="F52" i="6"/>
  <c r="N10" i="4"/>
  <c r="J5" i="4"/>
  <c r="J7" i="4" s="1"/>
  <c r="M10" i="4"/>
  <c r="K72" i="5"/>
  <c r="I41" i="7"/>
  <c r="K35" i="8"/>
  <c r="M65" i="8"/>
  <c r="M66" i="8" s="1"/>
  <c r="M33" i="8"/>
  <c r="M35" i="8" s="1"/>
  <c r="H33" i="8"/>
  <c r="H35" i="8" s="1"/>
  <c r="K6" i="3"/>
  <c r="E19" i="3"/>
  <c r="K5" i="4"/>
  <c r="K7" i="4" s="1"/>
  <c r="H25" i="7"/>
  <c r="J25" i="7"/>
  <c r="J41" i="7"/>
  <c r="N8" i="8"/>
  <c r="L17" i="8"/>
  <c r="L40" i="8"/>
  <c r="C82" i="7"/>
  <c r="N39" i="1"/>
  <c r="C28" i="1" s="1"/>
  <c r="F7" i="1"/>
  <c r="C29" i="1"/>
  <c r="F21" i="3"/>
  <c r="K16" i="4"/>
  <c r="C50" i="5"/>
  <c r="L69" i="6"/>
  <c r="L71" i="6" s="1"/>
  <c r="L40" i="9"/>
  <c r="C28" i="5"/>
  <c r="I23" i="6"/>
  <c r="N29" i="6"/>
  <c r="K17" i="7"/>
  <c r="K12" i="6"/>
  <c r="K45" i="7"/>
  <c r="C45" i="9"/>
  <c r="C15" i="9"/>
  <c r="C17" i="9" s="1"/>
  <c r="F44" i="9"/>
  <c r="F48" i="9" s="1"/>
  <c r="F15" i="9"/>
  <c r="F17" i="9" s="1"/>
  <c r="M7" i="4"/>
  <c r="N5" i="4"/>
  <c r="M16" i="4"/>
  <c r="H21" i="6"/>
  <c r="J23" i="6"/>
  <c r="E47" i="6"/>
  <c r="L8" i="7"/>
  <c r="N5" i="6"/>
  <c r="F8" i="7"/>
  <c r="K11" i="6"/>
  <c r="K44" i="7"/>
  <c r="L12" i="6"/>
  <c r="L45" i="7"/>
  <c r="M13" i="6"/>
  <c r="M69" i="4" s="1"/>
  <c r="M15" i="7"/>
  <c r="M17" i="7" s="1"/>
  <c r="P7" i="9"/>
  <c r="F7" i="4"/>
  <c r="P6" i="7"/>
  <c r="E6" i="6"/>
  <c r="G28" i="6"/>
  <c r="N44" i="7"/>
  <c r="N48" i="7" s="1"/>
  <c r="N15" i="7"/>
  <c r="P14" i="7"/>
  <c r="E14" i="6"/>
  <c r="N41" i="8"/>
  <c r="N25" i="8"/>
  <c r="N69" i="8"/>
  <c r="N71" i="8" s="1"/>
  <c r="N22" i="6"/>
  <c r="N8" i="7"/>
  <c r="P13" i="7"/>
  <c r="E46" i="7"/>
  <c r="P20" i="8"/>
  <c r="P22" i="8"/>
  <c r="C91" i="7"/>
  <c r="F15" i="6"/>
  <c r="C89" i="6"/>
  <c r="C51" i="4" s="1"/>
  <c r="E44" i="7"/>
  <c r="C20" i="6"/>
  <c r="C41" i="8"/>
  <c r="C25" i="8"/>
  <c r="B6" i="3"/>
  <c r="B7" i="3"/>
  <c r="I94" i="5"/>
  <c r="N3" i="6"/>
  <c r="E13" i="6"/>
  <c r="G40" i="8"/>
  <c r="G17" i="8"/>
  <c r="F35" i="8"/>
  <c r="C91" i="9"/>
  <c r="E89" i="9"/>
  <c r="N47" i="6"/>
  <c r="C6" i="3"/>
  <c r="C7" i="3"/>
  <c r="C21" i="3"/>
  <c r="L10" i="4"/>
  <c r="J94" i="5"/>
  <c r="I69" i="6"/>
  <c r="I71" i="6" s="1"/>
  <c r="G33" i="8"/>
  <c r="G35" i="8" s="1"/>
  <c r="E82" i="9"/>
  <c r="D6" i="5"/>
  <c r="D7" i="5" s="1"/>
  <c r="N11" i="6"/>
  <c r="N20" i="6"/>
  <c r="M69" i="6"/>
  <c r="M71" i="6" s="1"/>
  <c r="F41" i="7"/>
  <c r="F25" i="7"/>
  <c r="H69" i="7"/>
  <c r="H71" i="7" s="1"/>
  <c r="H22" i="6"/>
  <c r="K40" i="8"/>
  <c r="K17" i="8"/>
  <c r="P32" i="8"/>
  <c r="K40" i="9"/>
  <c r="G52" i="6"/>
  <c r="E21" i="3"/>
  <c r="B50" i="5"/>
  <c r="G41" i="7"/>
  <c r="G25" i="7"/>
  <c r="G20" i="6"/>
  <c r="I25" i="7"/>
  <c r="L35" i="8"/>
  <c r="G65" i="8"/>
  <c r="G66" i="8" s="1"/>
  <c r="G48" i="9"/>
  <c r="H52" i="6"/>
  <c r="C5" i="5"/>
  <c r="B28" i="5"/>
  <c r="E27" i="5"/>
  <c r="M40" i="7"/>
  <c r="H65" i="8"/>
  <c r="H66" i="8" s="1"/>
  <c r="N48" i="9"/>
  <c r="E82" i="8"/>
  <c r="L16" i="4"/>
  <c r="E8" i="7"/>
  <c r="J11" i="6"/>
  <c r="J44" i="7"/>
  <c r="L46" i="7"/>
  <c r="H40" i="8"/>
  <c r="E48" i="8"/>
  <c r="I65" i="8"/>
  <c r="I66" i="8" s="1"/>
  <c r="M40" i="9"/>
  <c r="C10" i="4"/>
  <c r="C4" i="4"/>
  <c r="C7" i="4" s="1"/>
  <c r="C13" i="4" s="1"/>
  <c r="H47" i="6"/>
  <c r="E10" i="4"/>
  <c r="E4" i="4"/>
  <c r="N4" i="4"/>
  <c r="E28" i="6"/>
  <c r="I47" i="6"/>
  <c r="P7" i="7"/>
  <c r="G40" i="7"/>
  <c r="K20" i="6"/>
  <c r="K41" i="7"/>
  <c r="K42" i="7" s="1"/>
  <c r="K25" i="7"/>
  <c r="L41" i="7"/>
  <c r="L21" i="6"/>
  <c r="L25" i="6" s="1"/>
  <c r="L25" i="7"/>
  <c r="M69" i="7"/>
  <c r="M71" i="7" s="1"/>
  <c r="N23" i="6"/>
  <c r="E25" i="7"/>
  <c r="P31" i="8"/>
  <c r="I69" i="8"/>
  <c r="I71" i="8" s="1"/>
  <c r="K28" i="6"/>
  <c r="K65" i="7"/>
  <c r="K66" i="7" s="1"/>
  <c r="L29" i="6"/>
  <c r="J6" i="5"/>
  <c r="J7" i="5" s="1"/>
  <c r="M30" i="6"/>
  <c r="E96" i="7"/>
  <c r="C44" i="8"/>
  <c r="C48" i="8" s="1"/>
  <c r="C15" i="8"/>
  <c r="C17" i="8" s="1"/>
  <c r="C11" i="6"/>
  <c r="P30" i="8"/>
  <c r="I17" i="9"/>
  <c r="I40" i="9"/>
  <c r="E75" i="8"/>
  <c r="G7" i="4"/>
  <c r="G44" i="7"/>
  <c r="G48" i="7" s="1"/>
  <c r="G15" i="7"/>
  <c r="G17" i="7" s="1"/>
  <c r="I46" i="7"/>
  <c r="I13" i="6"/>
  <c r="I15" i="6" s="1"/>
  <c r="P23" i="7"/>
  <c r="N35" i="9"/>
  <c r="K17" i="5"/>
  <c r="K19" i="5" s="1"/>
  <c r="C84" i="9"/>
  <c r="C76" i="9"/>
  <c r="J47" i="6"/>
  <c r="F7" i="3"/>
  <c r="H4" i="4"/>
  <c r="F16" i="4"/>
  <c r="G11" i="6"/>
  <c r="N79" i="4"/>
  <c r="N45" i="6"/>
  <c r="E69" i="6"/>
  <c r="E71" i="6" s="1"/>
  <c r="L30" i="6"/>
  <c r="L33" i="4" s="1"/>
  <c r="I8" i="7"/>
  <c r="I3" i="6"/>
  <c r="J4" i="6"/>
  <c r="H44" i="7"/>
  <c r="H48" i="7" s="1"/>
  <c r="H15" i="7"/>
  <c r="H17" i="7" s="1"/>
  <c r="J46" i="7"/>
  <c r="J13" i="6"/>
  <c r="J46" i="6" s="1"/>
  <c r="P22" i="7"/>
  <c r="E69" i="7"/>
  <c r="E71" i="7" s="1"/>
  <c r="P32" i="7"/>
  <c r="M65" i="7"/>
  <c r="M66" i="7" s="1"/>
  <c r="J8" i="9"/>
  <c r="L44" i="9"/>
  <c r="L48" i="9" s="1"/>
  <c r="L15" i="9"/>
  <c r="L17" i="9" s="1"/>
  <c r="L11" i="6"/>
  <c r="P28" i="9"/>
  <c r="P29" i="9"/>
  <c r="P30" i="9"/>
  <c r="J33" i="7"/>
  <c r="J65" i="7"/>
  <c r="J66" i="7" s="1"/>
  <c r="J28" i="6"/>
  <c r="K29" i="6"/>
  <c r="H5" i="5"/>
  <c r="H7" i="5" s="1"/>
  <c r="G47" i="6"/>
  <c r="I41" i="8"/>
  <c r="I25" i="8"/>
  <c r="I20" i="6"/>
  <c r="N65" i="8"/>
  <c r="N66" i="8" s="1"/>
  <c r="N33" i="8"/>
  <c r="C76" i="7"/>
  <c r="D6" i="3"/>
  <c r="D7" i="3"/>
  <c r="N69" i="7"/>
  <c r="N71" i="7" s="1"/>
  <c r="C40" i="8"/>
  <c r="J25" i="8"/>
  <c r="J41" i="8"/>
  <c r="C29" i="6"/>
  <c r="C65" i="6" s="1"/>
  <c r="C66" i="6" s="1"/>
  <c r="J69" i="8"/>
  <c r="J71" i="8" s="1"/>
  <c r="E7" i="3"/>
  <c r="J20" i="6"/>
  <c r="N25" i="7"/>
  <c r="L28" i="6"/>
  <c r="M29" i="6"/>
  <c r="N30" i="6"/>
  <c r="K6" i="5"/>
  <c r="K7" i="5" s="1"/>
  <c r="L65" i="7"/>
  <c r="L66" i="7" s="1"/>
  <c r="E40" i="8"/>
  <c r="P7" i="8"/>
  <c r="I7" i="6"/>
  <c r="P7" i="6" s="1"/>
  <c r="P13" i="8"/>
  <c r="G46" i="8"/>
  <c r="M52" i="6"/>
  <c r="F9" i="1"/>
  <c r="C30" i="1"/>
  <c r="K47" i="6"/>
  <c r="N52" i="6"/>
  <c r="G7" i="3"/>
  <c r="I4" i="4"/>
  <c r="F69" i="4"/>
  <c r="G13" i="5"/>
  <c r="J19" i="5"/>
  <c r="E26" i="5"/>
  <c r="G16" i="4"/>
  <c r="G14" i="6"/>
  <c r="M41" i="6"/>
  <c r="M25" i="6"/>
  <c r="C96" i="6"/>
  <c r="J8" i="7"/>
  <c r="J3" i="6"/>
  <c r="I44" i="7"/>
  <c r="K13" i="6"/>
  <c r="K46" i="6" s="1"/>
  <c r="K46" i="7"/>
  <c r="C35" i="7"/>
  <c r="P21" i="7"/>
  <c r="E21" i="6"/>
  <c r="F69" i="7"/>
  <c r="F71" i="7" s="1"/>
  <c r="F22" i="6"/>
  <c r="F25" i="6" s="1"/>
  <c r="N28" i="6"/>
  <c r="P31" i="7"/>
  <c r="N65" i="7"/>
  <c r="N66" i="7" s="1"/>
  <c r="M44" i="9"/>
  <c r="M48" i="9" s="1"/>
  <c r="M15" i="9"/>
  <c r="M17" i="9" s="1"/>
  <c r="C65" i="9"/>
  <c r="C66" i="9" s="1"/>
  <c r="C33" i="9"/>
  <c r="C35" i="9" s="1"/>
  <c r="P4" i="9"/>
  <c r="K41" i="9"/>
  <c r="K25" i="9"/>
  <c r="K69" i="9"/>
  <c r="K71" i="9" s="1"/>
  <c r="K22" i="6"/>
  <c r="P12" i="7"/>
  <c r="H41" i="7"/>
  <c r="F65" i="7"/>
  <c r="F66" i="7" s="1"/>
  <c r="P6" i="8"/>
  <c r="I6" i="6"/>
  <c r="J48" i="8"/>
  <c r="P3" i="9"/>
  <c r="E8" i="9"/>
  <c r="G8" i="9"/>
  <c r="H8" i="9"/>
  <c r="I48" i="9"/>
  <c r="I52" i="6"/>
  <c r="G62" i="4"/>
  <c r="C4" i="5"/>
  <c r="H6" i="6"/>
  <c r="H8" i="6" s="1"/>
  <c r="P11" i="7"/>
  <c r="E15" i="7"/>
  <c r="K32" i="6"/>
  <c r="K64" i="6" s="1"/>
  <c r="P5" i="8"/>
  <c r="G44" i="8"/>
  <c r="P11" i="8"/>
  <c r="L48" i="8"/>
  <c r="C40" i="9"/>
  <c r="C42" i="9" s="1"/>
  <c r="C19" i="5"/>
  <c r="E4" i="6"/>
  <c r="G5" i="6"/>
  <c r="G8" i="6" s="1"/>
  <c r="G12" i="6"/>
  <c r="F15" i="7"/>
  <c r="K21" i="6"/>
  <c r="H66" i="7"/>
  <c r="P4" i="8"/>
  <c r="H44" i="8"/>
  <c r="H48" i="8" s="1"/>
  <c r="N48" i="8"/>
  <c r="N69" i="9"/>
  <c r="N71" i="9" s="1"/>
  <c r="H33" i="9"/>
  <c r="H35" i="9" s="1"/>
  <c r="H66" i="9"/>
  <c r="P5" i="7"/>
  <c r="I44" i="8"/>
  <c r="I48" i="8" s="1"/>
  <c r="J44" i="9"/>
  <c r="J48" i="9" s="1"/>
  <c r="E35" i="9"/>
  <c r="C17" i="7"/>
  <c r="C40" i="7"/>
  <c r="C42" i="7" s="1"/>
  <c r="P4" i="7"/>
  <c r="M44" i="7"/>
  <c r="M48" i="7" s="1"/>
  <c r="P24" i="7"/>
  <c r="I33" i="7"/>
  <c r="P28" i="8"/>
  <c r="K44" i="9"/>
  <c r="K48" i="9" s="1"/>
  <c r="K15" i="9"/>
  <c r="K17" i="9" s="1"/>
  <c r="P3" i="7"/>
  <c r="P30" i="7"/>
  <c r="K44" i="8"/>
  <c r="K48" i="8" s="1"/>
  <c r="C33" i="8"/>
  <c r="C65" i="8"/>
  <c r="C66" i="8" s="1"/>
  <c r="P29" i="8"/>
  <c r="L41" i="9"/>
  <c r="L25" i="9"/>
  <c r="P29" i="7"/>
  <c r="M25" i="9"/>
  <c r="M41" i="9"/>
  <c r="M69" i="9"/>
  <c r="M71" i="9" s="1"/>
  <c r="L69" i="9"/>
  <c r="L71" i="9" s="1"/>
  <c r="M48" i="8"/>
  <c r="C44" i="9"/>
  <c r="F35" i="9"/>
  <c r="P11" i="9"/>
  <c r="G35" i="9"/>
  <c r="F40" i="9"/>
  <c r="F48" i="8"/>
  <c r="E15" i="8"/>
  <c r="E17" i="8" s="1"/>
  <c r="E96" i="8"/>
  <c r="G69" i="9"/>
  <c r="G71" i="9" s="1"/>
  <c r="L65" i="9"/>
  <c r="L66" i="9" s="1"/>
  <c r="G69" i="8"/>
  <c r="G71" i="8" s="1"/>
  <c r="H44" i="9"/>
  <c r="H48" i="9" s="1"/>
  <c r="E48" i="9"/>
  <c r="P12" i="9"/>
  <c r="H69" i="9"/>
  <c r="H71" i="9" s="1"/>
  <c r="K65" i="9"/>
  <c r="K66" i="9" s="1"/>
  <c r="K33" i="9"/>
  <c r="E25" i="8"/>
  <c r="E33" i="8"/>
  <c r="E15" i="9"/>
  <c r="J35" i="9"/>
  <c r="F83" i="6" l="1"/>
  <c r="C93" i="8"/>
  <c r="C52" i="4"/>
  <c r="H68" i="4"/>
  <c r="H70" i="4" s="1"/>
  <c r="H74" i="4" s="1"/>
  <c r="C53" i="4"/>
  <c r="C56" i="4" s="1"/>
  <c r="G68" i="4"/>
  <c r="M40" i="6"/>
  <c r="M61" i="4" s="1"/>
  <c r="J11" i="3" s="1"/>
  <c r="M68" i="4"/>
  <c r="M70" i="4" s="1"/>
  <c r="M74" i="4" s="1"/>
  <c r="L40" i="6"/>
  <c r="L26" i="4" s="1"/>
  <c r="L68" i="4"/>
  <c r="K40" i="6"/>
  <c r="K26" i="4" s="1"/>
  <c r="K68" i="4"/>
  <c r="N37" i="9"/>
  <c r="F37" i="8"/>
  <c r="P31" i="6"/>
  <c r="I38" i="4"/>
  <c r="G48" i="8"/>
  <c r="J38" i="3"/>
  <c r="C34" i="4"/>
  <c r="C35" i="4" s="1"/>
  <c r="J22" i="3"/>
  <c r="M39" i="4"/>
  <c r="I37" i="9"/>
  <c r="I21" i="5"/>
  <c r="C37" i="9"/>
  <c r="F37" i="9"/>
  <c r="N50" i="9"/>
  <c r="N55" i="9" s="1"/>
  <c r="P15" i="9"/>
  <c r="F40" i="6"/>
  <c r="C39" i="3" s="1"/>
  <c r="F17" i="6"/>
  <c r="H33" i="6"/>
  <c r="H65" i="6"/>
  <c r="H66" i="6" s="1"/>
  <c r="F65" i="6"/>
  <c r="F66" i="6" s="1"/>
  <c r="F21" i="5"/>
  <c r="G37" i="8"/>
  <c r="M50" i="8"/>
  <c r="M55" i="8" s="1"/>
  <c r="C42" i="8"/>
  <c r="C50" i="8" s="1"/>
  <c r="C55" i="8" s="1"/>
  <c r="C59" i="8" s="1"/>
  <c r="C61" i="8" s="1"/>
  <c r="C73" i="8" s="1"/>
  <c r="C75" i="8" s="1"/>
  <c r="H37" i="8"/>
  <c r="M15" i="6"/>
  <c r="M17" i="6" s="1"/>
  <c r="P15" i="8"/>
  <c r="M37" i="8"/>
  <c r="I33" i="6"/>
  <c r="E21" i="5"/>
  <c r="C33" i="6"/>
  <c r="L48" i="7"/>
  <c r="H17" i="4"/>
  <c r="C68" i="4"/>
  <c r="P32" i="6"/>
  <c r="M33" i="6"/>
  <c r="M35" i="6" s="1"/>
  <c r="M38" i="4"/>
  <c r="M37" i="7"/>
  <c r="C7" i="5"/>
  <c r="C21" i="5" s="1"/>
  <c r="P23" i="6"/>
  <c r="C37" i="7"/>
  <c r="E89" i="7"/>
  <c r="F89" i="7" s="1"/>
  <c r="F48" i="6"/>
  <c r="J48" i="7"/>
  <c r="I69" i="4"/>
  <c r="I48" i="7"/>
  <c r="C50" i="7"/>
  <c r="C53" i="7" s="1"/>
  <c r="F70" i="4"/>
  <c r="F74" i="4" s="1"/>
  <c r="C26" i="3" s="1"/>
  <c r="M17" i="4"/>
  <c r="P3" i="6"/>
  <c r="G17" i="4"/>
  <c r="L35" i="6"/>
  <c r="C97" i="8"/>
  <c r="G40" i="6"/>
  <c r="H40" i="6"/>
  <c r="H17" i="6"/>
  <c r="L35" i="9"/>
  <c r="L37" i="9" s="1"/>
  <c r="K69" i="6"/>
  <c r="K71" i="6" s="1"/>
  <c r="J40" i="9"/>
  <c r="J17" i="9"/>
  <c r="J37" i="9" s="1"/>
  <c r="P14" i="6"/>
  <c r="E44" i="6"/>
  <c r="H42" i="7"/>
  <c r="H50" i="7" s="1"/>
  <c r="F42" i="9"/>
  <c r="F50" i="9" s="1"/>
  <c r="C93" i="9"/>
  <c r="L35" i="7"/>
  <c r="E7" i="4"/>
  <c r="F8" i="4" s="1"/>
  <c r="H42" i="8"/>
  <c r="H50" i="8" s="1"/>
  <c r="H69" i="6"/>
  <c r="H71" i="6" s="1"/>
  <c r="F82" i="9"/>
  <c r="C36" i="1"/>
  <c r="C41" i="1" s="1"/>
  <c r="D30" i="1" s="1"/>
  <c r="L79" i="4"/>
  <c r="L45" i="6"/>
  <c r="J21" i="5"/>
  <c r="E42" i="8"/>
  <c r="E50" i="8" s="1"/>
  <c r="N35" i="7"/>
  <c r="I39" i="4"/>
  <c r="I34" i="4"/>
  <c r="F22" i="3"/>
  <c r="F38" i="3"/>
  <c r="G33" i="4"/>
  <c r="P30" i="6"/>
  <c r="D19" i="3"/>
  <c r="P12" i="6"/>
  <c r="G79" i="4"/>
  <c r="G45" i="6"/>
  <c r="M42" i="7"/>
  <c r="M50" i="7" s="1"/>
  <c r="K48" i="7"/>
  <c r="K50" i="7" s="1"/>
  <c r="H25" i="6"/>
  <c r="H41" i="6"/>
  <c r="J41" i="6"/>
  <c r="J25" i="6"/>
  <c r="I35" i="8"/>
  <c r="B21" i="3"/>
  <c r="E65" i="6"/>
  <c r="E66" i="6" s="1"/>
  <c r="P28" i="6"/>
  <c r="E33" i="6"/>
  <c r="E38" i="4"/>
  <c r="K15" i="6"/>
  <c r="K17" i="6" s="1"/>
  <c r="K44" i="6"/>
  <c r="K69" i="4"/>
  <c r="F35" i="6"/>
  <c r="K13" i="4"/>
  <c r="K8" i="4"/>
  <c r="M35" i="9"/>
  <c r="M37" i="9" s="1"/>
  <c r="P4" i="6"/>
  <c r="E8" i="6"/>
  <c r="E68" i="4" s="1"/>
  <c r="E16" i="4"/>
  <c r="F17" i="4" s="1"/>
  <c r="H7" i="4"/>
  <c r="E28" i="5"/>
  <c r="I35" i="7"/>
  <c r="F40" i="7"/>
  <c r="F17" i="7"/>
  <c r="C69" i="6"/>
  <c r="C71" i="6" s="1"/>
  <c r="I38" i="3"/>
  <c r="L39" i="4"/>
  <c r="L34" i="4"/>
  <c r="L35" i="4" s="1"/>
  <c r="I22" i="3"/>
  <c r="C20" i="3"/>
  <c r="P29" i="6"/>
  <c r="P33" i="8"/>
  <c r="J19" i="3"/>
  <c r="M33" i="4"/>
  <c r="M35" i="4" s="1"/>
  <c r="K25" i="6"/>
  <c r="K41" i="6"/>
  <c r="P25" i="8"/>
  <c r="L8" i="4"/>
  <c r="L13" i="4"/>
  <c r="C57" i="4"/>
  <c r="C61" i="4"/>
  <c r="C63" i="4" s="1"/>
  <c r="C21" i="4"/>
  <c r="C26" i="4"/>
  <c r="J17" i="7"/>
  <c r="J40" i="7"/>
  <c r="P33" i="9"/>
  <c r="P35" i="9" s="1"/>
  <c r="I19" i="3"/>
  <c r="G42" i="7"/>
  <c r="G50" i="7" s="1"/>
  <c r="J44" i="6"/>
  <c r="J48" i="6" s="1"/>
  <c r="J15" i="6"/>
  <c r="J69" i="4"/>
  <c r="G41" i="6"/>
  <c r="G25" i="6"/>
  <c r="K42" i="9"/>
  <c r="K50" i="9" s="1"/>
  <c r="E46" i="6"/>
  <c r="E15" i="6"/>
  <c r="P13" i="6"/>
  <c r="L17" i="7"/>
  <c r="L40" i="7"/>
  <c r="M65" i="6"/>
  <c r="M66" i="6" s="1"/>
  <c r="E20" i="3"/>
  <c r="F96" i="8"/>
  <c r="G40" i="9"/>
  <c r="G17" i="9"/>
  <c r="G37" i="9" s="1"/>
  <c r="K19" i="3"/>
  <c r="N33" i="4"/>
  <c r="E75" i="7"/>
  <c r="L44" i="6"/>
  <c r="L69" i="4"/>
  <c r="L15" i="6"/>
  <c r="L17" i="6" s="1"/>
  <c r="C82" i="6"/>
  <c r="E82" i="7"/>
  <c r="J13" i="4"/>
  <c r="P21" i="6"/>
  <c r="C38" i="4"/>
  <c r="C40" i="4" s="1"/>
  <c r="I20" i="3"/>
  <c r="E35" i="7"/>
  <c r="E48" i="7"/>
  <c r="G65" i="6"/>
  <c r="G66" i="6" s="1"/>
  <c r="G33" i="6"/>
  <c r="D21" i="3"/>
  <c r="G38" i="4"/>
  <c r="L42" i="8"/>
  <c r="L50" i="8" s="1"/>
  <c r="J40" i="8"/>
  <c r="J17" i="8"/>
  <c r="I17" i="8"/>
  <c r="I40" i="8"/>
  <c r="P33" i="7"/>
  <c r="P8" i="9"/>
  <c r="J20" i="3"/>
  <c r="J39" i="4"/>
  <c r="J34" i="4"/>
  <c r="J35" i="4" s="1"/>
  <c r="G38" i="3"/>
  <c r="G22" i="3"/>
  <c r="L17" i="4"/>
  <c r="K37" i="8"/>
  <c r="N25" i="6"/>
  <c r="N41" i="6"/>
  <c r="N17" i="7"/>
  <c r="N40" i="7"/>
  <c r="N35" i="8"/>
  <c r="M13" i="4"/>
  <c r="M8" i="4"/>
  <c r="K20" i="3"/>
  <c r="F50" i="8"/>
  <c r="L37" i="8"/>
  <c r="E25" i="6"/>
  <c r="E41" i="6"/>
  <c r="P20" i="6"/>
  <c r="C22" i="3"/>
  <c r="F34" i="4"/>
  <c r="F35" i="4" s="1"/>
  <c r="C38" i="3"/>
  <c r="F39" i="4"/>
  <c r="E69" i="4"/>
  <c r="G21" i="5"/>
  <c r="L65" i="6"/>
  <c r="L66" i="6" s="1"/>
  <c r="I21" i="3"/>
  <c r="L38" i="4"/>
  <c r="J35" i="8"/>
  <c r="K37" i="3"/>
  <c r="E75" i="9"/>
  <c r="C69" i="4"/>
  <c r="C44" i="6"/>
  <c r="C48" i="6" s="1"/>
  <c r="C15" i="6"/>
  <c r="C17" i="6" s="1"/>
  <c r="K33" i="6"/>
  <c r="H21" i="3"/>
  <c r="K65" i="6"/>
  <c r="K66" i="6" s="1"/>
  <c r="K38" i="4"/>
  <c r="F82" i="8"/>
  <c r="C35" i="1"/>
  <c r="C40" i="1" s="1"/>
  <c r="D29" i="1" s="1"/>
  <c r="D21" i="5"/>
  <c r="N40" i="8"/>
  <c r="N17" i="8"/>
  <c r="E35" i="8"/>
  <c r="E37" i="8" s="1"/>
  <c r="G44" i="6"/>
  <c r="G69" i="4"/>
  <c r="P11" i="6"/>
  <c r="G15" i="6"/>
  <c r="G17" i="6" s="1"/>
  <c r="P6" i="6"/>
  <c r="J35" i="7"/>
  <c r="K35" i="9"/>
  <c r="K37" i="9" s="1"/>
  <c r="I41" i="6"/>
  <c r="I25" i="6"/>
  <c r="I8" i="6"/>
  <c r="I68" i="4" s="1"/>
  <c r="I16" i="4"/>
  <c r="I17" i="4" s="1"/>
  <c r="G13" i="4"/>
  <c r="G8" i="4"/>
  <c r="F96" i="7"/>
  <c r="E96" i="6"/>
  <c r="H39" i="4"/>
  <c r="H40" i="4" s="1"/>
  <c r="H34" i="4"/>
  <c r="H35" i="4" s="1"/>
  <c r="E22" i="3"/>
  <c r="E38" i="3"/>
  <c r="F13" i="4"/>
  <c r="H35" i="7"/>
  <c r="H37" i="7" s="1"/>
  <c r="F89" i="8"/>
  <c r="E91" i="8"/>
  <c r="I33" i="4"/>
  <c r="F19" i="3"/>
  <c r="G96" i="9"/>
  <c r="K21" i="3"/>
  <c r="N38" i="4"/>
  <c r="N33" i="6"/>
  <c r="N65" i="6"/>
  <c r="N66" i="6" s="1"/>
  <c r="H38" i="3"/>
  <c r="K34" i="4"/>
  <c r="K35" i="4" s="1"/>
  <c r="H22" i="3"/>
  <c r="K39" i="4"/>
  <c r="I17" i="7"/>
  <c r="I40" i="7"/>
  <c r="K35" i="7"/>
  <c r="K37" i="7" s="1"/>
  <c r="F35" i="7"/>
  <c r="L42" i="9"/>
  <c r="L50" i="9" s="1"/>
  <c r="G42" i="8"/>
  <c r="H21" i="5"/>
  <c r="F69" i="6"/>
  <c r="F71" i="6" s="1"/>
  <c r="J8" i="6"/>
  <c r="J68" i="4" s="1"/>
  <c r="J16" i="4"/>
  <c r="D22" i="3"/>
  <c r="G34" i="4"/>
  <c r="D38" i="3"/>
  <c r="G39" i="4"/>
  <c r="H48" i="6"/>
  <c r="C35" i="8"/>
  <c r="C37" i="8" s="1"/>
  <c r="C31" i="1"/>
  <c r="E44" i="4" s="1"/>
  <c r="K79" i="4"/>
  <c r="K45" i="6"/>
  <c r="K21" i="5"/>
  <c r="H17" i="9"/>
  <c r="H37" i="9" s="1"/>
  <c r="H40" i="9"/>
  <c r="F38" i="4"/>
  <c r="G69" i="6"/>
  <c r="G71" i="6" s="1"/>
  <c r="P22" i="6"/>
  <c r="I46" i="6"/>
  <c r="I48" i="6" s="1"/>
  <c r="I42" i="9"/>
  <c r="I50" i="9" s="1"/>
  <c r="C91" i="6"/>
  <c r="N7" i="4"/>
  <c r="E40" i="7"/>
  <c r="E17" i="7"/>
  <c r="G35" i="7"/>
  <c r="G37" i="7" s="1"/>
  <c r="N8" i="6"/>
  <c r="N68" i="4" s="1"/>
  <c r="N16" i="4"/>
  <c r="C41" i="6"/>
  <c r="C42" i="6" s="1"/>
  <c r="C25" i="6"/>
  <c r="N69" i="6"/>
  <c r="N71" i="6" s="1"/>
  <c r="P8" i="8"/>
  <c r="B21" i="5"/>
  <c r="C48" i="9"/>
  <c r="C50" i="9" s="1"/>
  <c r="E40" i="9"/>
  <c r="E17" i="9"/>
  <c r="E37" i="9" s="1"/>
  <c r="I7" i="4"/>
  <c r="C84" i="7"/>
  <c r="C93" i="7" s="1"/>
  <c r="H20" i="3"/>
  <c r="M42" i="9"/>
  <c r="M50" i="9" s="1"/>
  <c r="N39" i="4"/>
  <c r="K38" i="3"/>
  <c r="N34" i="4"/>
  <c r="K22" i="3"/>
  <c r="P8" i="7"/>
  <c r="P15" i="7"/>
  <c r="L41" i="6"/>
  <c r="J38" i="4"/>
  <c r="J33" i="6"/>
  <c r="G21" i="3"/>
  <c r="J65" i="6"/>
  <c r="J66" i="6" s="1"/>
  <c r="K42" i="8"/>
  <c r="K50" i="8" s="1"/>
  <c r="N44" i="6"/>
  <c r="N48" i="6" s="1"/>
  <c r="N15" i="6"/>
  <c r="N69" i="4"/>
  <c r="E91" i="9"/>
  <c r="F89" i="9"/>
  <c r="M46" i="6"/>
  <c r="M48" i="6" s="1"/>
  <c r="B22" i="3"/>
  <c r="E34" i="4"/>
  <c r="B38" i="3"/>
  <c r="E39" i="4"/>
  <c r="P25" i="7"/>
  <c r="H83" i="7"/>
  <c r="G83" i="6"/>
  <c r="P5" i="6"/>
  <c r="C73" i="4" l="1"/>
  <c r="M101" i="4"/>
  <c r="J26" i="3"/>
  <c r="M42" i="6"/>
  <c r="M50" i="6" s="1"/>
  <c r="H101" i="4"/>
  <c r="E26" i="3"/>
  <c r="C31" i="3"/>
  <c r="M57" i="4"/>
  <c r="M40" i="4"/>
  <c r="C64" i="4"/>
  <c r="C65" i="4" s="1"/>
  <c r="M21" i="4"/>
  <c r="M63" i="4"/>
  <c r="M26" i="4"/>
  <c r="L21" i="4"/>
  <c r="L57" i="4"/>
  <c r="J39" i="3"/>
  <c r="H39" i="3"/>
  <c r="L61" i="4"/>
  <c r="I11" i="3" s="1"/>
  <c r="K57" i="4"/>
  <c r="K21" i="4"/>
  <c r="I39" i="3"/>
  <c r="K61" i="4"/>
  <c r="K63" i="4" s="1"/>
  <c r="J36" i="3"/>
  <c r="F36" i="3"/>
  <c r="F78" i="4"/>
  <c r="F80" i="4" s="1"/>
  <c r="F101" i="4"/>
  <c r="P17" i="9"/>
  <c r="P37" i="9" s="1"/>
  <c r="I40" i="4"/>
  <c r="P17" i="8"/>
  <c r="G50" i="8"/>
  <c r="G53" i="8" s="1"/>
  <c r="N53" i="9"/>
  <c r="M53" i="8"/>
  <c r="F57" i="4"/>
  <c r="F26" i="4"/>
  <c r="F42" i="6"/>
  <c r="F50" i="6" s="1"/>
  <c r="F20" i="4" s="1"/>
  <c r="F21" i="4"/>
  <c r="F61" i="4"/>
  <c r="C11" i="3" s="1"/>
  <c r="F37" i="6"/>
  <c r="E36" i="3"/>
  <c r="P35" i="8"/>
  <c r="C36" i="3"/>
  <c r="C40" i="3" s="1"/>
  <c r="M37" i="6"/>
  <c r="C53" i="8"/>
  <c r="K70" i="4"/>
  <c r="K74" i="4" s="1"/>
  <c r="C70" i="4"/>
  <c r="C74" i="4" s="1"/>
  <c r="C78" i="4" s="1"/>
  <c r="C80" i="4" s="1"/>
  <c r="J17" i="4"/>
  <c r="E89" i="6"/>
  <c r="E91" i="6" s="1"/>
  <c r="E91" i="7"/>
  <c r="P33" i="6"/>
  <c r="P35" i="7"/>
  <c r="C55" i="7"/>
  <c r="C59" i="7" s="1"/>
  <c r="C61" i="7" s="1"/>
  <c r="C73" i="7" s="1"/>
  <c r="C75" i="7" s="1"/>
  <c r="N37" i="7"/>
  <c r="P25" i="6"/>
  <c r="L37" i="7"/>
  <c r="L37" i="6"/>
  <c r="L42" i="6"/>
  <c r="P15" i="6"/>
  <c r="L48" i="6"/>
  <c r="C50" i="6"/>
  <c r="C53" i="6" s="1"/>
  <c r="P8" i="6"/>
  <c r="I35" i="4"/>
  <c r="C53" i="9"/>
  <c r="C55" i="9"/>
  <c r="H83" i="6"/>
  <c r="I83" i="7"/>
  <c r="E42" i="7"/>
  <c r="E50" i="7" s="1"/>
  <c r="J42" i="8"/>
  <c r="J50" i="8" s="1"/>
  <c r="G61" i="4"/>
  <c r="G21" i="4"/>
  <c r="G42" i="6"/>
  <c r="G26" i="4"/>
  <c r="D39" i="3"/>
  <c r="G57" i="4"/>
  <c r="C97" i="7"/>
  <c r="J70" i="4"/>
  <c r="J74" i="4" s="1"/>
  <c r="J40" i="6"/>
  <c r="J17" i="6"/>
  <c r="L53" i="8"/>
  <c r="L55" i="8"/>
  <c r="K42" i="6"/>
  <c r="O38" i="4"/>
  <c r="E40" i="4"/>
  <c r="G53" i="7"/>
  <c r="G55" i="7"/>
  <c r="K35" i="6"/>
  <c r="K37" i="6" s="1"/>
  <c r="E55" i="8"/>
  <c r="E53" i="8"/>
  <c r="E97" i="8"/>
  <c r="C98" i="8"/>
  <c r="O8" i="4"/>
  <c r="N8" i="4"/>
  <c r="N13" i="4"/>
  <c r="M59" i="8"/>
  <c r="M61" i="8" s="1"/>
  <c r="M73" i="8" s="1"/>
  <c r="G82" i="8"/>
  <c r="D35" i="1"/>
  <c r="D40" i="1" s="1"/>
  <c r="E29" i="1" s="1"/>
  <c r="C35" i="6"/>
  <c r="C37" i="6" s="1"/>
  <c r="K40" i="4"/>
  <c r="G96" i="8"/>
  <c r="E35" i="6"/>
  <c r="K55" i="9"/>
  <c r="K53" i="9"/>
  <c r="F55" i="9"/>
  <c r="F53" i="9"/>
  <c r="G89" i="8"/>
  <c r="F91" i="8"/>
  <c r="K48" i="6"/>
  <c r="I37" i="3"/>
  <c r="H55" i="7"/>
  <c r="H53" i="7"/>
  <c r="K36" i="3"/>
  <c r="F55" i="8"/>
  <c r="F53" i="8"/>
  <c r="L42" i="7"/>
  <c r="L50" i="7" s="1"/>
  <c r="E17" i="6"/>
  <c r="E40" i="6"/>
  <c r="E70" i="4"/>
  <c r="E74" i="4" s="1"/>
  <c r="F91" i="9"/>
  <c r="G89" i="9"/>
  <c r="J37" i="7"/>
  <c r="M53" i="7"/>
  <c r="M55" i="7"/>
  <c r="G96" i="7"/>
  <c r="F96" i="6"/>
  <c r="E82" i="6"/>
  <c r="F82" i="7"/>
  <c r="C34" i="1"/>
  <c r="G82" i="9"/>
  <c r="D36" i="1"/>
  <c r="D41" i="1" s="1"/>
  <c r="E30" i="1" s="1"/>
  <c r="C97" i="9"/>
  <c r="C43" i="4"/>
  <c r="C45" i="4" s="1"/>
  <c r="C84" i="6"/>
  <c r="C93" i="6" s="1"/>
  <c r="G42" i="9"/>
  <c r="G50" i="9" s="1"/>
  <c r="H78" i="4"/>
  <c r="H80" i="4" s="1"/>
  <c r="O39" i="4"/>
  <c r="I13" i="4"/>
  <c r="I8" i="4"/>
  <c r="H35" i="6"/>
  <c r="H37" i="6" s="1"/>
  <c r="D37" i="3"/>
  <c r="K55" i="7"/>
  <c r="K53" i="7"/>
  <c r="L55" i="9"/>
  <c r="L53" i="9"/>
  <c r="N42" i="7"/>
  <c r="N50" i="7" s="1"/>
  <c r="J42" i="9"/>
  <c r="J50" i="9" s="1"/>
  <c r="O34" i="4"/>
  <c r="E35" i="4"/>
  <c r="H8" i="4"/>
  <c r="H13" i="4"/>
  <c r="H42" i="6"/>
  <c r="H50" i="6" s="1"/>
  <c r="H26" i="4"/>
  <c r="H21" i="4"/>
  <c r="H61" i="4"/>
  <c r="H57" i="4"/>
  <c r="E39" i="3"/>
  <c r="J40" i="4"/>
  <c r="E42" i="9"/>
  <c r="E50" i="9" s="1"/>
  <c r="N17" i="4"/>
  <c r="O17" i="4"/>
  <c r="H37" i="3"/>
  <c r="I40" i="6"/>
  <c r="I17" i="6"/>
  <c r="I70" i="4"/>
  <c r="I74" i="4" s="1"/>
  <c r="G40" i="4"/>
  <c r="H53" i="8"/>
  <c r="H55" i="8"/>
  <c r="N40" i="6"/>
  <c r="N70" i="4"/>
  <c r="N74" i="4" s="1"/>
  <c r="N17" i="6"/>
  <c r="I55" i="9"/>
  <c r="I53" i="9"/>
  <c r="N40" i="4"/>
  <c r="I35" i="6"/>
  <c r="L40" i="4"/>
  <c r="G35" i="6"/>
  <c r="G37" i="6" s="1"/>
  <c r="O16" i="4"/>
  <c r="E17" i="4"/>
  <c r="L70" i="4"/>
  <c r="L74" i="4" s="1"/>
  <c r="M78" i="4"/>
  <c r="M80" i="4" s="1"/>
  <c r="N37" i="8"/>
  <c r="E8" i="4"/>
  <c r="E13" i="4"/>
  <c r="I42" i="7"/>
  <c r="I50" i="7" s="1"/>
  <c r="G48" i="6"/>
  <c r="N42" i="8"/>
  <c r="N50" i="8" s="1"/>
  <c r="N35" i="6"/>
  <c r="I42" i="8"/>
  <c r="I50" i="8" s="1"/>
  <c r="F91" i="7"/>
  <c r="G89" i="7"/>
  <c r="F89" i="6"/>
  <c r="G70" i="4"/>
  <c r="G74" i="4" s="1"/>
  <c r="M55" i="9"/>
  <c r="M53" i="9"/>
  <c r="F40" i="4"/>
  <c r="I37" i="7"/>
  <c r="K17" i="4"/>
  <c r="I37" i="8"/>
  <c r="N35" i="4"/>
  <c r="F37" i="7"/>
  <c r="J35" i="6"/>
  <c r="G35" i="4"/>
  <c r="O33" i="4"/>
  <c r="E48" i="6"/>
  <c r="B36" i="3" s="1"/>
  <c r="K53" i="8"/>
  <c r="K55" i="8"/>
  <c r="P17" i="7"/>
  <c r="E37" i="7"/>
  <c r="H42" i="9"/>
  <c r="H50" i="9" s="1"/>
  <c r="H96" i="9"/>
  <c r="J37" i="8"/>
  <c r="J8" i="4"/>
  <c r="G36" i="3"/>
  <c r="J42" i="7"/>
  <c r="J50" i="7" s="1"/>
  <c r="F42" i="7"/>
  <c r="F50" i="7" s="1"/>
  <c r="C58" i="4"/>
  <c r="N59" i="9"/>
  <c r="N61" i="9" s="1"/>
  <c r="N73" i="9" s="1"/>
  <c r="G101" i="4" l="1"/>
  <c r="D26" i="3"/>
  <c r="N101" i="4"/>
  <c r="K26" i="3"/>
  <c r="L101" i="4"/>
  <c r="I26" i="3"/>
  <c r="I31" i="3" s="1"/>
  <c r="E101" i="4"/>
  <c r="B26" i="3"/>
  <c r="J101" i="4"/>
  <c r="G26" i="3"/>
  <c r="J31" i="3"/>
  <c r="E31" i="3"/>
  <c r="I101" i="4"/>
  <c r="F26" i="3"/>
  <c r="K101" i="4"/>
  <c r="H26" i="3"/>
  <c r="J40" i="3"/>
  <c r="L63" i="4"/>
  <c r="H11" i="3"/>
  <c r="K78" i="4"/>
  <c r="K80" i="4" s="1"/>
  <c r="P37" i="8"/>
  <c r="G55" i="8"/>
  <c r="G59" i="8" s="1"/>
  <c r="G61" i="8" s="1"/>
  <c r="G73" i="8" s="1"/>
  <c r="F22" i="4"/>
  <c r="E40" i="3"/>
  <c r="P17" i="6"/>
  <c r="F63" i="4"/>
  <c r="C75" i="4"/>
  <c r="F25" i="4"/>
  <c r="F27" i="4" s="1"/>
  <c r="N37" i="6"/>
  <c r="E51" i="4"/>
  <c r="F53" i="6"/>
  <c r="F55" i="6"/>
  <c r="F59" i="6" s="1"/>
  <c r="F61" i="6" s="1"/>
  <c r="F73" i="6" s="1"/>
  <c r="D36" i="3"/>
  <c r="D40" i="3" s="1"/>
  <c r="L50" i="6"/>
  <c r="I36" i="3"/>
  <c r="I40" i="3" s="1"/>
  <c r="P37" i="7"/>
  <c r="P35" i="6"/>
  <c r="C55" i="6"/>
  <c r="C59" i="6" s="1"/>
  <c r="C61" i="6" s="1"/>
  <c r="C73" i="6" s="1"/>
  <c r="C75" i="6" s="1"/>
  <c r="I37" i="6"/>
  <c r="E37" i="6"/>
  <c r="C20" i="4"/>
  <c r="C22" i="4" s="1"/>
  <c r="C25" i="4"/>
  <c r="C27" i="4" s="1"/>
  <c r="G50" i="6"/>
  <c r="G25" i="4" s="1"/>
  <c r="G27" i="4" s="1"/>
  <c r="F51" i="4"/>
  <c r="F91" i="6"/>
  <c r="E78" i="4"/>
  <c r="E80" i="4" s="1"/>
  <c r="H96" i="8"/>
  <c r="J55" i="8"/>
  <c r="J53" i="8"/>
  <c r="G91" i="7"/>
  <c r="G89" i="6"/>
  <c r="H89" i="7"/>
  <c r="N78" i="4"/>
  <c r="N80" i="4" s="1"/>
  <c r="G96" i="6"/>
  <c r="H96" i="7"/>
  <c r="E57" i="4"/>
  <c r="E61" i="4"/>
  <c r="E21" i="4"/>
  <c r="E26" i="4"/>
  <c r="B39" i="3"/>
  <c r="B40" i="3" s="1"/>
  <c r="E42" i="6"/>
  <c r="E50" i="6" s="1"/>
  <c r="E97" i="9"/>
  <c r="C98" i="9"/>
  <c r="G91" i="9"/>
  <c r="H89" i="9"/>
  <c r="L59" i="9"/>
  <c r="L61" i="9" s="1"/>
  <c r="L73" i="9" s="1"/>
  <c r="H89" i="8"/>
  <c r="G91" i="8"/>
  <c r="M59" i="9"/>
  <c r="M61" i="9" s="1"/>
  <c r="M73" i="9" s="1"/>
  <c r="N53" i="8"/>
  <c r="N55" i="8"/>
  <c r="H63" i="4"/>
  <c r="E11" i="3"/>
  <c r="M59" i="7"/>
  <c r="M61" i="7" s="1"/>
  <c r="M73" i="7" s="1"/>
  <c r="J37" i="6"/>
  <c r="G63" i="4"/>
  <c r="D11" i="3"/>
  <c r="C59" i="9"/>
  <c r="C61" i="9" s="1"/>
  <c r="C73" i="9" s="1"/>
  <c r="C75" i="9" s="1"/>
  <c r="K59" i="7"/>
  <c r="K61" i="7" s="1"/>
  <c r="K73" i="7" s="1"/>
  <c r="J61" i="4"/>
  <c r="J26" i="4"/>
  <c r="G39" i="3"/>
  <c r="G40" i="3" s="1"/>
  <c r="J42" i="6"/>
  <c r="J50" i="6" s="1"/>
  <c r="J57" i="4"/>
  <c r="J21" i="4"/>
  <c r="H82" i="9"/>
  <c r="E36" i="1"/>
  <c r="E41" i="1" s="1"/>
  <c r="F30" i="1" s="1"/>
  <c r="H36" i="3"/>
  <c r="H40" i="3" s="1"/>
  <c r="E55" i="7"/>
  <c r="E53" i="7"/>
  <c r="K50" i="6"/>
  <c r="H25" i="4"/>
  <c r="H27" i="4" s="1"/>
  <c r="H20" i="4"/>
  <c r="H22" i="4" s="1"/>
  <c r="H55" i="6"/>
  <c r="H59" i="6" s="1"/>
  <c r="H61" i="6" s="1"/>
  <c r="H73" i="6" s="1"/>
  <c r="H53" i="6"/>
  <c r="I96" i="9"/>
  <c r="K59" i="9"/>
  <c r="K61" i="9" s="1"/>
  <c r="K73" i="9" s="1"/>
  <c r="H82" i="8"/>
  <c r="E35" i="1"/>
  <c r="E40" i="1" s="1"/>
  <c r="F29" i="1" s="1"/>
  <c r="I83" i="6"/>
  <c r="J83" i="7"/>
  <c r="I53" i="8"/>
  <c r="I55" i="8"/>
  <c r="E53" i="9"/>
  <c r="E55" i="9"/>
  <c r="E43" i="4"/>
  <c r="E45" i="4" s="1"/>
  <c r="L78" i="4"/>
  <c r="L80" i="4" s="1"/>
  <c r="I78" i="4"/>
  <c r="I80" i="4" s="1"/>
  <c r="J53" i="7"/>
  <c r="J55" i="7"/>
  <c r="G59" i="7"/>
  <c r="G61" i="7" s="1"/>
  <c r="G73" i="7" s="1"/>
  <c r="N42" i="6"/>
  <c r="N50" i="6" s="1"/>
  <c r="K39" i="3"/>
  <c r="K40" i="3" s="1"/>
  <c r="N57" i="4"/>
  <c r="N21" i="4"/>
  <c r="N26" i="4"/>
  <c r="N61" i="4"/>
  <c r="I26" i="4"/>
  <c r="I21" i="4"/>
  <c r="I61" i="4"/>
  <c r="F39" i="3"/>
  <c r="F40" i="3" s="1"/>
  <c r="I57" i="4"/>
  <c r="I42" i="6"/>
  <c r="I50" i="6" s="1"/>
  <c r="H59" i="7"/>
  <c r="H61" i="7" s="1"/>
  <c r="H73" i="7" s="1"/>
  <c r="M53" i="6"/>
  <c r="M55" i="6"/>
  <c r="M59" i="6" s="1"/>
  <c r="M61" i="6" s="1"/>
  <c r="M73" i="6" s="1"/>
  <c r="M20" i="4"/>
  <c r="M22" i="4" s="1"/>
  <c r="M25" i="4"/>
  <c r="M27" i="4" s="1"/>
  <c r="K59" i="8"/>
  <c r="K61" i="8" s="1"/>
  <c r="K73" i="8" s="1"/>
  <c r="H59" i="8"/>
  <c r="H61" i="8" s="1"/>
  <c r="H73" i="8" s="1"/>
  <c r="L55" i="7"/>
  <c r="L53" i="7"/>
  <c r="J53" i="9"/>
  <c r="J55" i="9"/>
  <c r="O40" i="4"/>
  <c r="J78" i="4"/>
  <c r="J80" i="4" s="1"/>
  <c r="F55" i="7"/>
  <c r="F53" i="7"/>
  <c r="G78" i="4"/>
  <c r="G80" i="4" s="1"/>
  <c r="F59" i="9"/>
  <c r="F61" i="9" s="1"/>
  <c r="F73" i="9" s="1"/>
  <c r="F97" i="8"/>
  <c r="E98" i="8"/>
  <c r="I55" i="7"/>
  <c r="I53" i="7"/>
  <c r="G53" i="9"/>
  <c r="G55" i="9"/>
  <c r="C39" i="1"/>
  <c r="D28" i="1" s="1"/>
  <c r="C37" i="1"/>
  <c r="E97" i="7"/>
  <c r="C97" i="6"/>
  <c r="C98" i="6" s="1"/>
  <c r="C98" i="7"/>
  <c r="G82" i="7"/>
  <c r="D34" i="1"/>
  <c r="F82" i="6"/>
  <c r="F59" i="8"/>
  <c r="F61" i="8" s="1"/>
  <c r="F73" i="8" s="1"/>
  <c r="E59" i="8"/>
  <c r="E61" i="8" s="1"/>
  <c r="E73" i="8" s="1"/>
  <c r="E76" i="8" s="1"/>
  <c r="H53" i="9"/>
  <c r="H55" i="9"/>
  <c r="O35" i="4"/>
  <c r="I59" i="9"/>
  <c r="I61" i="9" s="1"/>
  <c r="I73" i="9" s="1"/>
  <c r="N53" i="7"/>
  <c r="N55" i="7"/>
  <c r="L59" i="8"/>
  <c r="L61" i="8" s="1"/>
  <c r="L73" i="8" s="1"/>
  <c r="G31" i="3" l="1"/>
  <c r="B31" i="3"/>
  <c r="H31" i="3"/>
  <c r="F31" i="3"/>
  <c r="K31" i="3"/>
  <c r="D31" i="3"/>
  <c r="P37" i="6"/>
  <c r="L25" i="4"/>
  <c r="L27" i="4" s="1"/>
  <c r="L53" i="6"/>
  <c r="L55" i="6"/>
  <c r="L59" i="6" s="1"/>
  <c r="L61" i="6" s="1"/>
  <c r="L73" i="6" s="1"/>
  <c r="L20" i="4"/>
  <c r="L22" i="4" s="1"/>
  <c r="G53" i="6"/>
  <c r="G20" i="4"/>
  <c r="G22" i="4" s="1"/>
  <c r="G55" i="6"/>
  <c r="G59" i="6" s="1"/>
  <c r="G61" i="6" s="1"/>
  <c r="G73" i="6" s="1"/>
  <c r="G97" i="8"/>
  <c r="F98" i="8"/>
  <c r="I82" i="8"/>
  <c r="F35" i="1"/>
  <c r="F40" i="1" s="1"/>
  <c r="G29" i="1" s="1"/>
  <c r="E80" i="8"/>
  <c r="F75" i="8"/>
  <c r="F76" i="8" s="1"/>
  <c r="E97" i="6"/>
  <c r="E98" i="6" s="1"/>
  <c r="F97" i="7"/>
  <c r="E98" i="7"/>
  <c r="I89" i="7"/>
  <c r="H91" i="7"/>
  <c r="H89" i="6"/>
  <c r="D31" i="1"/>
  <c r="F44" i="4" s="1"/>
  <c r="J63" i="4"/>
  <c r="G11" i="3"/>
  <c r="E63" i="4"/>
  <c r="B11" i="3"/>
  <c r="G51" i="4"/>
  <c r="G91" i="6"/>
  <c r="I63" i="4"/>
  <c r="F11" i="3"/>
  <c r="N53" i="6"/>
  <c r="N20" i="4"/>
  <c r="N22" i="4" s="1"/>
  <c r="N55" i="6"/>
  <c r="N59" i="6" s="1"/>
  <c r="N61" i="6" s="1"/>
  <c r="N73" i="6" s="1"/>
  <c r="N25" i="4"/>
  <c r="N27" i="4" s="1"/>
  <c r="F97" i="9"/>
  <c r="E98" i="9"/>
  <c r="D39" i="1"/>
  <c r="E28" i="1" s="1"/>
  <c r="D37" i="1"/>
  <c r="K83" i="7"/>
  <c r="J83" i="6"/>
  <c r="I96" i="7"/>
  <c r="H96" i="6"/>
  <c r="I82" i="9"/>
  <c r="F36" i="1"/>
  <c r="F41" i="1" s="1"/>
  <c r="G30" i="1" s="1"/>
  <c r="J59" i="8"/>
  <c r="J61" i="8" s="1"/>
  <c r="J73" i="8" s="1"/>
  <c r="L59" i="7"/>
  <c r="L61" i="7" s="1"/>
  <c r="L73" i="7" s="1"/>
  <c r="H59" i="9"/>
  <c r="H61" i="9" s="1"/>
  <c r="H73" i="9" s="1"/>
  <c r="I59" i="7"/>
  <c r="I61" i="7" s="1"/>
  <c r="I73" i="7" s="1"/>
  <c r="I89" i="9"/>
  <c r="H91" i="9"/>
  <c r="N59" i="7"/>
  <c r="N61" i="7" s="1"/>
  <c r="N73" i="7" s="1"/>
  <c r="I25" i="4"/>
  <c r="I27" i="4" s="1"/>
  <c r="I20" i="4"/>
  <c r="I22" i="4" s="1"/>
  <c r="I53" i="6"/>
  <c r="I55" i="6"/>
  <c r="I59" i="6" s="1"/>
  <c r="I61" i="6" s="1"/>
  <c r="I73" i="6" s="1"/>
  <c r="E59" i="7"/>
  <c r="E61" i="7" s="1"/>
  <c r="E73" i="7" s="1"/>
  <c r="E76" i="7" s="1"/>
  <c r="J53" i="6"/>
  <c r="J20" i="4"/>
  <c r="J22" i="4" s="1"/>
  <c r="J25" i="4"/>
  <c r="J27" i="4" s="1"/>
  <c r="J55" i="6"/>
  <c r="J59" i="6" s="1"/>
  <c r="J61" i="6" s="1"/>
  <c r="J73" i="6" s="1"/>
  <c r="O26" i="4"/>
  <c r="J59" i="9"/>
  <c r="J61" i="9" s="1"/>
  <c r="J73" i="9" s="1"/>
  <c r="E59" i="9"/>
  <c r="E61" i="9" s="1"/>
  <c r="E73" i="9" s="1"/>
  <c r="E76" i="9" s="1"/>
  <c r="J96" i="9"/>
  <c r="O21" i="4"/>
  <c r="I89" i="8"/>
  <c r="H91" i="8"/>
  <c r="I59" i="8"/>
  <c r="I61" i="8" s="1"/>
  <c r="I73" i="8" s="1"/>
  <c r="F43" i="4"/>
  <c r="G59" i="9"/>
  <c r="G61" i="9" s="1"/>
  <c r="G73" i="9" s="1"/>
  <c r="N59" i="8"/>
  <c r="N61" i="8" s="1"/>
  <c r="N73" i="8" s="1"/>
  <c r="H82" i="7"/>
  <c r="E34" i="1"/>
  <c r="G82" i="6"/>
  <c r="F59" i="7"/>
  <c r="F61" i="7" s="1"/>
  <c r="F73" i="7" s="1"/>
  <c r="N63" i="4"/>
  <c r="K11" i="3"/>
  <c r="J59" i="7"/>
  <c r="J61" i="7" s="1"/>
  <c r="J73" i="7" s="1"/>
  <c r="K55" i="6"/>
  <c r="K59" i="6" s="1"/>
  <c r="K61" i="6" s="1"/>
  <c r="K73" i="6" s="1"/>
  <c r="K20" i="4"/>
  <c r="K22" i="4" s="1"/>
  <c r="K53" i="6"/>
  <c r="K25" i="4"/>
  <c r="K27" i="4" s="1"/>
  <c r="E55" i="6"/>
  <c r="E59" i="6" s="1"/>
  <c r="E61" i="6" s="1"/>
  <c r="E73" i="6" s="1"/>
  <c r="E76" i="6" s="1"/>
  <c r="E25" i="4"/>
  <c r="E53" i="6"/>
  <c r="E20" i="4"/>
  <c r="I96" i="8"/>
  <c r="F80" i="8" l="1"/>
  <c r="G75" i="8"/>
  <c r="G76" i="8" s="1"/>
  <c r="J96" i="8"/>
  <c r="E31" i="1"/>
  <c r="G44" i="4" s="1"/>
  <c r="I91" i="8"/>
  <c r="J89" i="8"/>
  <c r="J82" i="9"/>
  <c r="G36" i="1"/>
  <c r="G41" i="1" s="1"/>
  <c r="H30" i="1" s="1"/>
  <c r="F45" i="4"/>
  <c r="K96" i="9"/>
  <c r="H51" i="4"/>
  <c r="H91" i="6"/>
  <c r="E80" i="7"/>
  <c r="F75" i="7"/>
  <c r="F76" i="7" s="1"/>
  <c r="E39" i="1"/>
  <c r="F28" i="1" s="1"/>
  <c r="E37" i="1"/>
  <c r="I91" i="9"/>
  <c r="J89" i="9"/>
  <c r="J82" i="8"/>
  <c r="G35" i="1"/>
  <c r="G40" i="1" s="1"/>
  <c r="H29" i="1" s="1"/>
  <c r="H97" i="8"/>
  <c r="G98" i="8"/>
  <c r="G97" i="9"/>
  <c r="F98" i="9"/>
  <c r="F97" i="6"/>
  <c r="F98" i="6" s="1"/>
  <c r="G97" i="7"/>
  <c r="F98" i="7"/>
  <c r="O20" i="4"/>
  <c r="O22" i="4" s="1"/>
  <c r="E22" i="4"/>
  <c r="J96" i="7"/>
  <c r="I96" i="6"/>
  <c r="E27" i="4"/>
  <c r="O25" i="4"/>
  <c r="O27" i="4" s="1"/>
  <c r="G43" i="4"/>
  <c r="E84" i="8"/>
  <c r="E93" i="8" s="1"/>
  <c r="E80" i="6"/>
  <c r="F75" i="6"/>
  <c r="F76" i="6" s="1"/>
  <c r="I82" i="7"/>
  <c r="F34" i="1"/>
  <c r="H82" i="6"/>
  <c r="E80" i="9"/>
  <c r="F75" i="9"/>
  <c r="F76" i="9" s="1"/>
  <c r="L83" i="7"/>
  <c r="K83" i="6"/>
  <c r="J89" i="7"/>
  <c r="I89" i="6"/>
  <c r="I91" i="7"/>
  <c r="F31" i="1" l="1"/>
  <c r="H44" i="4" s="1"/>
  <c r="G75" i="7"/>
  <c r="G76" i="7" s="1"/>
  <c r="F80" i="7"/>
  <c r="E84" i="6"/>
  <c r="E93" i="6" s="1"/>
  <c r="E52" i="4"/>
  <c r="E53" i="4" s="1"/>
  <c r="E84" i="7"/>
  <c r="E93" i="7" s="1"/>
  <c r="H97" i="9"/>
  <c r="G98" i="9"/>
  <c r="M83" i="7"/>
  <c r="L83" i="6"/>
  <c r="F80" i="9"/>
  <c r="G75" i="9"/>
  <c r="G76" i="9" s="1"/>
  <c r="K96" i="7"/>
  <c r="J96" i="6"/>
  <c r="I97" i="8"/>
  <c r="H98" i="8"/>
  <c r="E84" i="9"/>
  <c r="E93" i="9" s="1"/>
  <c r="K89" i="9"/>
  <c r="J91" i="9"/>
  <c r="K96" i="8"/>
  <c r="H43" i="4"/>
  <c r="F39" i="1"/>
  <c r="G28" i="1" s="1"/>
  <c r="F37" i="1"/>
  <c r="H35" i="1"/>
  <c r="H40" i="1" s="1"/>
  <c r="I29" i="1" s="1"/>
  <c r="K82" i="8"/>
  <c r="G80" i="8"/>
  <c r="H75" i="8"/>
  <c r="H76" i="8" s="1"/>
  <c r="G34" i="1"/>
  <c r="J82" i="7"/>
  <c r="I82" i="6"/>
  <c r="G45" i="4"/>
  <c r="G97" i="6"/>
  <c r="G98" i="6" s="1"/>
  <c r="H97" i="7"/>
  <c r="G98" i="7"/>
  <c r="L96" i="9"/>
  <c r="J91" i="8"/>
  <c r="K89" i="8"/>
  <c r="F84" i="8"/>
  <c r="F93" i="8" s="1"/>
  <c r="J91" i="7"/>
  <c r="K89" i="7"/>
  <c r="J89" i="6"/>
  <c r="F80" i="6"/>
  <c r="G75" i="6"/>
  <c r="G76" i="6" s="1"/>
  <c r="K82" i="9"/>
  <c r="H36" i="1"/>
  <c r="H41" i="1" s="1"/>
  <c r="I30" i="1" s="1"/>
  <c r="I91" i="6"/>
  <c r="I51" i="4"/>
  <c r="H45" i="4" l="1"/>
  <c r="G31" i="1"/>
  <c r="I44" i="4" s="1"/>
  <c r="H97" i="6"/>
  <c r="H98" i="6" s="1"/>
  <c r="I97" i="7"/>
  <c r="H98" i="7"/>
  <c r="K91" i="9"/>
  <c r="L89" i="9"/>
  <c r="H75" i="6"/>
  <c r="H76" i="6" s="1"/>
  <c r="G80" i="6"/>
  <c r="F84" i="6"/>
  <c r="F93" i="6" s="1"/>
  <c r="F52" i="4"/>
  <c r="F53" i="4" s="1"/>
  <c r="E64" i="4"/>
  <c r="E73" i="4"/>
  <c r="E56" i="4"/>
  <c r="N83" i="7"/>
  <c r="N83" i="6" s="1"/>
  <c r="M83" i="6"/>
  <c r="I43" i="4"/>
  <c r="L89" i="8"/>
  <c r="K91" i="8"/>
  <c r="K82" i="7"/>
  <c r="H34" i="1"/>
  <c r="J82" i="6"/>
  <c r="L96" i="8"/>
  <c r="I97" i="9"/>
  <c r="H98" i="9"/>
  <c r="J51" i="4"/>
  <c r="J91" i="6"/>
  <c r="G39" i="1"/>
  <c r="H28" i="1" s="1"/>
  <c r="G37" i="1"/>
  <c r="J97" i="8"/>
  <c r="I98" i="8"/>
  <c r="H80" i="8"/>
  <c r="I75" i="8"/>
  <c r="I76" i="8" s="1"/>
  <c r="F84" i="7"/>
  <c r="F93" i="7" s="1"/>
  <c r="G84" i="8"/>
  <c r="G93" i="8" s="1"/>
  <c r="H75" i="7"/>
  <c r="H76" i="7" s="1"/>
  <c r="G80" i="7"/>
  <c r="K89" i="6"/>
  <c r="L89" i="7"/>
  <c r="K91" i="7"/>
  <c r="L96" i="7"/>
  <c r="K96" i="6"/>
  <c r="M96" i="9"/>
  <c r="L82" i="8"/>
  <c r="I35" i="1"/>
  <c r="I40" i="1" s="1"/>
  <c r="J29" i="1" s="1"/>
  <c r="G80" i="9"/>
  <c r="H75" i="9"/>
  <c r="H76" i="9" s="1"/>
  <c r="I36" i="1"/>
  <c r="I41" i="1" s="1"/>
  <c r="J30" i="1" s="1"/>
  <c r="L82" i="9"/>
  <c r="F84" i="9"/>
  <c r="F93" i="9" s="1"/>
  <c r="E58" i="4" l="1"/>
  <c r="B25" i="3"/>
  <c r="E75" i="4"/>
  <c r="E94" i="4" s="1"/>
  <c r="E108" i="4"/>
  <c r="I45" i="4"/>
  <c r="H31" i="1"/>
  <c r="J44" i="4" s="1"/>
  <c r="M96" i="7"/>
  <c r="L96" i="6"/>
  <c r="J97" i="9"/>
  <c r="I98" i="9"/>
  <c r="L91" i="8"/>
  <c r="M89" i="8"/>
  <c r="B12" i="3"/>
  <c r="E65" i="4"/>
  <c r="K97" i="8"/>
  <c r="J98" i="8"/>
  <c r="M96" i="8"/>
  <c r="G84" i="9"/>
  <c r="G93" i="9" s="1"/>
  <c r="J43" i="4"/>
  <c r="H37" i="1"/>
  <c r="H39" i="1"/>
  <c r="I28" i="1" s="1"/>
  <c r="M89" i="7"/>
  <c r="L89" i="6"/>
  <c r="L91" i="7"/>
  <c r="L82" i="7"/>
  <c r="I34" i="1"/>
  <c r="K82" i="6"/>
  <c r="M82" i="8"/>
  <c r="J35" i="1"/>
  <c r="J40" i="1" s="1"/>
  <c r="K29" i="1" s="1"/>
  <c r="K51" i="4"/>
  <c r="K91" i="6"/>
  <c r="I97" i="6"/>
  <c r="I98" i="6" s="1"/>
  <c r="J97" i="7"/>
  <c r="I98" i="7"/>
  <c r="N96" i="9"/>
  <c r="I75" i="7"/>
  <c r="I76" i="7" s="1"/>
  <c r="H80" i="7"/>
  <c r="H84" i="8"/>
  <c r="H93" i="8" s="1"/>
  <c r="G84" i="6"/>
  <c r="G93" i="6" s="1"/>
  <c r="G52" i="4"/>
  <c r="G53" i="4" s="1"/>
  <c r="M82" i="9"/>
  <c r="J36" i="1"/>
  <c r="J41" i="1" s="1"/>
  <c r="K30" i="1" s="1"/>
  <c r="L91" i="9"/>
  <c r="M89" i="9"/>
  <c r="I75" i="9"/>
  <c r="I76" i="9" s="1"/>
  <c r="H80" i="9"/>
  <c r="F64" i="4"/>
  <c r="F56" i="4"/>
  <c r="F73" i="4"/>
  <c r="G84" i="7"/>
  <c r="G93" i="7" s="1"/>
  <c r="I80" i="8"/>
  <c r="J75" i="8"/>
  <c r="J76" i="8" s="1"/>
  <c r="H80" i="6"/>
  <c r="I75" i="6"/>
  <c r="I76" i="6" s="1"/>
  <c r="F58" i="4" l="1"/>
  <c r="C25" i="3"/>
  <c r="B32" i="3"/>
  <c r="B33" i="3" s="1"/>
  <c r="B27" i="3"/>
  <c r="F75" i="4"/>
  <c r="F94" i="4" s="1"/>
  <c r="F108" i="4"/>
  <c r="J45" i="4"/>
  <c r="I31" i="1"/>
  <c r="K44" i="4" s="1"/>
  <c r="L97" i="8"/>
  <c r="K98" i="8"/>
  <c r="K43" i="4"/>
  <c r="B14" i="3"/>
  <c r="B13" i="3"/>
  <c r="I37" i="1"/>
  <c r="I39" i="1"/>
  <c r="J28" i="1" s="1"/>
  <c r="N96" i="7"/>
  <c r="M96" i="6"/>
  <c r="J75" i="6"/>
  <c r="J76" i="6" s="1"/>
  <c r="I80" i="6"/>
  <c r="N82" i="9"/>
  <c r="L36" i="1" s="1"/>
  <c r="K36" i="1"/>
  <c r="K41" i="1" s="1"/>
  <c r="L30" i="1" s="1"/>
  <c r="H84" i="7"/>
  <c r="H93" i="7" s="1"/>
  <c r="M82" i="7"/>
  <c r="L82" i="6"/>
  <c r="J34" i="1"/>
  <c r="M91" i="8"/>
  <c r="N89" i="8"/>
  <c r="H84" i="6"/>
  <c r="H93" i="6" s="1"/>
  <c r="H52" i="4"/>
  <c r="H53" i="4" s="1"/>
  <c r="C12" i="3"/>
  <c r="F65" i="4"/>
  <c r="J75" i="7"/>
  <c r="J76" i="7" s="1"/>
  <c r="I80" i="7"/>
  <c r="H84" i="9"/>
  <c r="H93" i="9" s="1"/>
  <c r="I80" i="9"/>
  <c r="J75" i="9"/>
  <c r="J76" i="9" s="1"/>
  <c r="J80" i="8"/>
  <c r="K75" i="8"/>
  <c r="K76" i="8" s="1"/>
  <c r="I84" i="8"/>
  <c r="I93" i="8" s="1"/>
  <c r="G56" i="4"/>
  <c r="G64" i="4"/>
  <c r="G73" i="4"/>
  <c r="M91" i="9"/>
  <c r="N89" i="9"/>
  <c r="N82" i="8"/>
  <c r="L35" i="1" s="1"/>
  <c r="K35" i="1"/>
  <c r="K40" i="1" s="1"/>
  <c r="L29" i="1" s="1"/>
  <c r="L91" i="6"/>
  <c r="L51" i="4"/>
  <c r="N96" i="8"/>
  <c r="K97" i="9"/>
  <c r="J98" i="9"/>
  <c r="J97" i="6"/>
  <c r="J98" i="6" s="1"/>
  <c r="K97" i="7"/>
  <c r="J98" i="7"/>
  <c r="M91" i="7"/>
  <c r="M89" i="6"/>
  <c r="N89" i="7"/>
  <c r="G58" i="4" l="1"/>
  <c r="D25" i="3"/>
  <c r="C32" i="3"/>
  <c r="C33" i="3" s="1"/>
  <c r="C27" i="3"/>
  <c r="G75" i="4"/>
  <c r="G94" i="4" s="1"/>
  <c r="G108" i="4"/>
  <c r="K45" i="4"/>
  <c r="J31" i="1"/>
  <c r="L44" i="4" s="1"/>
  <c r="K80" i="8"/>
  <c r="L75" i="8"/>
  <c r="L76" i="8" s="1"/>
  <c r="I84" i="7"/>
  <c r="I93" i="7" s="1"/>
  <c r="J84" i="8"/>
  <c r="J93" i="8" s="1"/>
  <c r="K75" i="7"/>
  <c r="K76" i="7" s="1"/>
  <c r="J80" i="7"/>
  <c r="N91" i="8"/>
  <c r="J80" i="9"/>
  <c r="K75" i="9"/>
  <c r="K76" i="9" s="1"/>
  <c r="C14" i="3"/>
  <c r="C13" i="3"/>
  <c r="L97" i="7"/>
  <c r="K97" i="6"/>
  <c r="K98" i="6" s="1"/>
  <c r="K98" i="7"/>
  <c r="D12" i="3"/>
  <c r="G65" i="4"/>
  <c r="I84" i="9"/>
  <c r="I93" i="9" s="1"/>
  <c r="L41" i="1"/>
  <c r="I84" i="6"/>
  <c r="I93" i="6" s="1"/>
  <c r="I52" i="4"/>
  <c r="I53" i="4" s="1"/>
  <c r="J37" i="1"/>
  <c r="J39" i="1"/>
  <c r="K28" i="1" s="1"/>
  <c r="J80" i="6"/>
  <c r="K75" i="6"/>
  <c r="K76" i="6" s="1"/>
  <c r="L97" i="9"/>
  <c r="K98" i="9"/>
  <c r="L40" i="1"/>
  <c r="L43" i="4"/>
  <c r="H64" i="4"/>
  <c r="H56" i="4"/>
  <c r="H73" i="4"/>
  <c r="N82" i="7"/>
  <c r="M82" i="6"/>
  <c r="K34" i="1"/>
  <c r="M97" i="8"/>
  <c r="L98" i="8"/>
  <c r="N91" i="7"/>
  <c r="N89" i="6"/>
  <c r="N96" i="6"/>
  <c r="M51" i="4"/>
  <c r="M91" i="6"/>
  <c r="N91" i="9"/>
  <c r="H58" i="4" l="1"/>
  <c r="E25" i="3"/>
  <c r="D32" i="3"/>
  <c r="D33" i="3" s="1"/>
  <c r="D27" i="3"/>
  <c r="H75" i="4"/>
  <c r="H94" i="4" s="1"/>
  <c r="H108" i="4"/>
  <c r="L45" i="4"/>
  <c r="K31" i="1"/>
  <c r="M44" i="4" s="1"/>
  <c r="M97" i="9"/>
  <c r="L98" i="9"/>
  <c r="L75" i="6"/>
  <c r="L76" i="6" s="1"/>
  <c r="K80" i="6"/>
  <c r="L75" i="9"/>
  <c r="L76" i="9" s="1"/>
  <c r="K80" i="9"/>
  <c r="J84" i="6"/>
  <c r="J93" i="6" s="1"/>
  <c r="J52" i="4"/>
  <c r="J53" i="4" s="1"/>
  <c r="J84" i="9"/>
  <c r="J93" i="9" s="1"/>
  <c r="D14" i="3"/>
  <c r="D13" i="3"/>
  <c r="L80" i="8"/>
  <c r="M75" i="8"/>
  <c r="M76" i="8" s="1"/>
  <c r="J84" i="7"/>
  <c r="J93" i="7" s="1"/>
  <c r="K84" i="8"/>
  <c r="K93" i="8" s="1"/>
  <c r="K37" i="1"/>
  <c r="K39" i="1"/>
  <c r="L28" i="1" s="1"/>
  <c r="L31" i="1" s="1"/>
  <c r="N44" i="4" s="1"/>
  <c r="I64" i="4"/>
  <c r="I56" i="4"/>
  <c r="I73" i="4"/>
  <c r="K80" i="7"/>
  <c r="L75" i="7"/>
  <c r="L76" i="7" s="1"/>
  <c r="M43" i="4"/>
  <c r="M97" i="7"/>
  <c r="L97" i="6"/>
  <c r="L98" i="6" s="1"/>
  <c r="L98" i="7"/>
  <c r="N51" i="4"/>
  <c r="N91" i="6"/>
  <c r="E12" i="3"/>
  <c r="H65" i="4"/>
  <c r="N97" i="8"/>
  <c r="N98" i="8" s="1"/>
  <c r="M98" i="8"/>
  <c r="N82" i="6"/>
  <c r="N43" i="4" s="1"/>
  <c r="L34" i="1"/>
  <c r="I58" i="4" l="1"/>
  <c r="F25" i="3"/>
  <c r="E32" i="3"/>
  <c r="E33" i="3" s="1"/>
  <c r="E27" i="3"/>
  <c r="I75" i="4"/>
  <c r="I94" i="4" s="1"/>
  <c r="I108" i="4"/>
  <c r="M45" i="4"/>
  <c r="N45" i="4"/>
  <c r="L37" i="1"/>
  <c r="L39" i="1"/>
  <c r="L80" i="7"/>
  <c r="M75" i="7"/>
  <c r="M76" i="7" s="1"/>
  <c r="K52" i="4"/>
  <c r="K53" i="4" s="1"/>
  <c r="K84" i="6"/>
  <c r="K93" i="6" s="1"/>
  <c r="K84" i="7"/>
  <c r="K93" i="7" s="1"/>
  <c r="N97" i="9"/>
  <c r="N98" i="9" s="1"/>
  <c r="M98" i="9"/>
  <c r="F12" i="3"/>
  <c r="I65" i="4"/>
  <c r="N75" i="8"/>
  <c r="N76" i="8" s="1"/>
  <c r="N80" i="8" s="1"/>
  <c r="M80" i="8"/>
  <c r="J64" i="4"/>
  <c r="J56" i="4"/>
  <c r="J73" i="4"/>
  <c r="E14" i="3"/>
  <c r="E13" i="3"/>
  <c r="N97" i="7"/>
  <c r="M97" i="6"/>
  <c r="M98" i="6" s="1"/>
  <c r="M98" i="7"/>
  <c r="K84" i="9"/>
  <c r="K93" i="9" s="1"/>
  <c r="L80" i="9"/>
  <c r="M75" i="9"/>
  <c r="M76" i="9" s="1"/>
  <c r="M75" i="6"/>
  <c r="M76" i="6" s="1"/>
  <c r="L80" i="6"/>
  <c r="L84" i="8"/>
  <c r="L93" i="8" s="1"/>
  <c r="F32" i="3" l="1"/>
  <c r="F33" i="3" s="1"/>
  <c r="F27" i="3"/>
  <c r="J58" i="4"/>
  <c r="G25" i="3"/>
  <c r="J75" i="4"/>
  <c r="J94" i="4" s="1"/>
  <c r="J108" i="4"/>
  <c r="G12" i="3"/>
  <c r="J65" i="4"/>
  <c r="M84" i="8"/>
  <c r="M93" i="8" s="1"/>
  <c r="N84" i="8"/>
  <c r="N93" i="8" s="1"/>
  <c r="L52" i="4"/>
  <c r="L53" i="4" s="1"/>
  <c r="L84" i="6"/>
  <c r="L93" i="6" s="1"/>
  <c r="F14" i="3"/>
  <c r="F13" i="3"/>
  <c r="N75" i="6"/>
  <c r="N76" i="6" s="1"/>
  <c r="N80" i="6" s="1"/>
  <c r="M80" i="6"/>
  <c r="K73" i="4"/>
  <c r="K64" i="4"/>
  <c r="K56" i="4"/>
  <c r="M80" i="9"/>
  <c r="N75" i="9"/>
  <c r="N76" i="9" s="1"/>
  <c r="N80" i="9" s="1"/>
  <c r="N97" i="6"/>
  <c r="N98" i="6" s="1"/>
  <c r="N98" i="7"/>
  <c r="L84" i="9"/>
  <c r="L93" i="9" s="1"/>
  <c r="M80" i="7"/>
  <c r="N75" i="7"/>
  <c r="N76" i="7" s="1"/>
  <c r="N80" i="7" s="1"/>
  <c r="L84" i="7"/>
  <c r="L93" i="7" s="1"/>
  <c r="K58" i="4" l="1"/>
  <c r="H25" i="3"/>
  <c r="G32" i="3"/>
  <c r="G27" i="3"/>
  <c r="K75" i="4"/>
  <c r="K94" i="4" s="1"/>
  <c r="K108" i="4"/>
  <c r="N84" i="9"/>
  <c r="N93" i="9" s="1"/>
  <c r="M84" i="9"/>
  <c r="M93" i="9" s="1"/>
  <c r="N84" i="6"/>
  <c r="N93" i="6" s="1"/>
  <c r="N52" i="4"/>
  <c r="N53" i="4" s="1"/>
  <c r="H12" i="3"/>
  <c r="K65" i="4"/>
  <c r="L73" i="4"/>
  <c r="L64" i="4"/>
  <c r="L56" i="4"/>
  <c r="G14" i="3"/>
  <c r="G13" i="3"/>
  <c r="N84" i="7"/>
  <c r="N93" i="7" s="1"/>
  <c r="M84" i="7"/>
  <c r="M93" i="7" s="1"/>
  <c r="M52" i="4"/>
  <c r="M53" i="4" s="1"/>
  <c r="M84" i="6"/>
  <c r="M93" i="6" s="1"/>
  <c r="L58" i="4" l="1"/>
  <c r="I25" i="3"/>
  <c r="H32" i="3"/>
  <c r="H27" i="3"/>
  <c r="L75" i="4"/>
  <c r="L94" i="4" s="1"/>
  <c r="L108" i="4"/>
  <c r="I12" i="3"/>
  <c r="L65" i="4"/>
  <c r="H14" i="3"/>
  <c r="H13" i="3"/>
  <c r="N73" i="4"/>
  <c r="N56" i="4"/>
  <c r="N64" i="4"/>
  <c r="M73" i="4"/>
  <c r="M64" i="4"/>
  <c r="M56" i="4"/>
  <c r="N58" i="4" l="1"/>
  <c r="K25" i="3"/>
  <c r="M58" i="4"/>
  <c r="J25" i="3"/>
  <c r="I27" i="3"/>
  <c r="I32" i="3"/>
  <c r="I33" i="3" s="1"/>
  <c r="N75" i="4"/>
  <c r="N94" i="4" s="1"/>
  <c r="N108" i="4"/>
  <c r="M75" i="4"/>
  <c r="M94" i="4" s="1"/>
  <c r="M108" i="4"/>
  <c r="K12" i="3"/>
  <c r="N65" i="4"/>
  <c r="J12" i="3"/>
  <c r="M65" i="4"/>
  <c r="I14" i="3"/>
  <c r="I13" i="3"/>
  <c r="J32" i="3" l="1"/>
  <c r="J33" i="3" s="1"/>
  <c r="J27" i="3"/>
  <c r="K32" i="3"/>
  <c r="K33" i="3" s="1"/>
  <c r="K27" i="3"/>
  <c r="J14" i="3"/>
  <c r="J13" i="3"/>
  <c r="K14" i="3"/>
  <c r="K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tc={A0332DA6-21A3-4D13-909B-E8A78FDA753B}</author>
    <author>tc={8F18EBFB-B207-4B8F-900A-E98CB4C22D9F}</author>
  </authors>
  <commentList>
    <comment ref="N29" authorId="0" shapeId="0" xr:uid="{A0332DA6-21A3-4D13-909B-E8A78FDA753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@Aaron Gabbie  - can you check the financials please?</t>
      </text>
    </comment>
    <comment ref="L33" authorId="1" shapeId="0" xr:uid="{8F18EBFB-B207-4B8F-900A-E98CB4C22D9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@Aaron Gabbie  - looks like a hard coded issue. Seem to have fixed it.</t>
      </text>
    </comment>
  </commentList>
</comments>
</file>

<file path=xl/sharedStrings.xml><?xml version="1.0" encoding="utf-8"?>
<sst xmlns="http://schemas.openxmlformats.org/spreadsheetml/2006/main" count="1198" uniqueCount="311">
  <si>
    <t>Water Services Delivery Plan Financial Template</t>
  </si>
  <si>
    <t>Projected financial statements required in Water Services Delivery Plans</t>
  </si>
  <si>
    <t>Water Services Delivery Plans ('Plans') require a minimum of ten year financial projections for water services - covering the financial years FY2024/25 - FY2033/34.</t>
  </si>
  <si>
    <t>This requires the following projected financial statements to be prepared and included in Plans:</t>
  </si>
  <si>
    <t xml:space="preserve">     •  
     •  
     •  
     •  </t>
  </si>
  <si>
    <t>Projected Funding Impact Statement (which councils already prepare in Long Term Plans);
Projected Statement of Comprehensive Revenue and Expense;
Projected Statement of Cashflows; and
Projected Statement of Financial Position.</t>
  </si>
  <si>
    <t>The projected financial statements are special purpose financial statements for the purpose of 'PBE FRS 42 – Prospective Financial Statements' and must be prepared for:</t>
  </si>
  <si>
    <r>
      <t xml:space="preserve">Drinking water activities - in section </t>
    </r>
    <r>
      <rPr>
        <b/>
        <i/>
        <sz val="11"/>
        <color rgb="FF00ABC5"/>
        <rFont val="Aptos Narrow"/>
        <family val="2"/>
        <scheme val="minor"/>
      </rPr>
      <t>'Ringfenced financial projections for drinking water'</t>
    </r>
    <r>
      <rPr>
        <sz val="11"/>
        <color theme="1"/>
        <rFont val="Aptos Narrow"/>
        <family val="2"/>
        <scheme val="minor"/>
      </rPr>
      <t xml:space="preserve"> of the Plan Template;
Wastewater activities - in section </t>
    </r>
    <r>
      <rPr>
        <b/>
        <i/>
        <sz val="11"/>
        <color rgb="FF00ABC5"/>
        <rFont val="Aptos Narrow"/>
        <family val="2"/>
        <scheme val="minor"/>
      </rPr>
      <t>'Ringfenced financial projections for wastewater'</t>
    </r>
    <r>
      <rPr>
        <sz val="11"/>
        <color theme="1"/>
        <rFont val="Aptos Narrow"/>
        <family val="2"/>
        <scheme val="minor"/>
      </rPr>
      <t xml:space="preserve">; 
Stormwater activities - in section </t>
    </r>
    <r>
      <rPr>
        <b/>
        <i/>
        <sz val="11"/>
        <color rgb="FF00ABC5"/>
        <rFont val="Aptos Narrow"/>
        <family val="2"/>
        <scheme val="minor"/>
      </rPr>
      <t>'Ringfenced financial projections for stormwater'</t>
    </r>
    <r>
      <rPr>
        <sz val="11"/>
        <color theme="1"/>
        <rFont val="Aptos Narrow"/>
        <family val="2"/>
        <scheme val="minor"/>
      </rPr>
      <t xml:space="preserve">; and
Consolidated water activities, being the summation of drinking water, wastewater and stormwater activities - in section </t>
    </r>
    <r>
      <rPr>
        <b/>
        <i/>
        <sz val="11"/>
        <color rgb="FF00ABC5"/>
        <rFont val="Aptos Narrow"/>
        <family val="2"/>
        <scheme val="minor"/>
      </rPr>
      <t>'Projected financial statements - combined water services'</t>
    </r>
    <r>
      <rPr>
        <sz val="11"/>
        <color theme="1"/>
        <rFont val="Aptos Narrow"/>
        <family val="2"/>
        <scheme val="minor"/>
      </rPr>
      <t>.</t>
    </r>
  </si>
  <si>
    <t>Projected financial statements should comply with the following principles:</t>
  </si>
  <si>
    <t xml:space="preserve">     •  
     •  
     •         
     •  
     •  
     •  
     •  
     •  </t>
  </si>
  <si>
    <t>Prospective Statements of Comprehensive Revenue and Expense should reflect income and expenditure from the funding impact statement but include non-cash movements such as depreciation and revaluation adjustments.
Prospective Statements of Financial Position should separately identify cash, assets, liabilities and equity for the particular water service;
Prospective Statements of Cashflows should be reconcilable with the cash movements in the prospective funding impact statement.
The financial statements should be consistent and reconcilable – for example: 
     •  the statement of financial position should ‘balance’; 
     •  movements in cash reserves in the FIS should reflect the movement in cash reserves.
Revenues for each water service should be separately identifiable from other council revenues.
Revenues generated for water services should fund expenditure on water services, not other council business.
Any cash surpluses generated for water services should be retained for future expenditure on water services.
Internal borrowings should be short-dated, commercial arrangements to enable cash repayment when the funds are required for water services expenditure or investment.</t>
  </si>
  <si>
    <t>Financial measures to support the 'Financial Sustainability Assessment'</t>
  </si>
  <si>
    <t>Plans must include a council self-assessment of the financial sustainability of their water services delivery. Plans should aim to ‘achieve’ financial sustainability by 30 June 2028 at the latest.</t>
  </si>
  <si>
    <t>Financial sustainability is not an absolute test. In order to assist with this assessment, Plans ask councils to consider three factors to assist the determination of whether water services delivery is financially sustainable.</t>
  </si>
  <si>
    <t>These factors are:</t>
  </si>
  <si>
    <t xml:space="preserve">     •  
     •  
     •  </t>
  </si>
  <si>
    <r>
      <rPr>
        <b/>
        <sz val="11"/>
        <color rgb="FF0070C0"/>
        <rFont val="Aptos Narrow"/>
        <family val="2"/>
        <scheme val="minor"/>
      </rPr>
      <t>Revenue sufficiency</t>
    </r>
    <r>
      <rPr>
        <b/>
        <sz val="11"/>
        <color rgb="FF00ABC5"/>
        <rFont val="Aptos Narrow"/>
        <family val="2"/>
        <scheme val="minor"/>
      </rPr>
      <t xml:space="preserve"> </t>
    </r>
    <r>
      <rPr>
        <sz val="11"/>
        <color theme="1"/>
        <rFont val="Aptos Narrow"/>
        <family val="2"/>
        <scheme val="minor"/>
      </rPr>
      <t xml:space="preserve">– is there sufficient revenue to cover the costs (including servicing debt) of water services delivery?
</t>
    </r>
    <r>
      <rPr>
        <b/>
        <sz val="11"/>
        <color rgb="FF0070C0"/>
        <rFont val="Aptos Narrow"/>
        <family val="2"/>
        <scheme val="minor"/>
      </rPr>
      <t xml:space="preserve">Investment sufficiency </t>
    </r>
    <r>
      <rPr>
        <sz val="11"/>
        <color theme="1"/>
        <rFont val="Aptos Narrow"/>
        <family val="2"/>
        <scheme val="minor"/>
      </rPr>
      <t xml:space="preserve">– is the projected level of investment sufficient to meet regulatory requirements and provide for growth?
</t>
    </r>
    <r>
      <rPr>
        <b/>
        <sz val="11"/>
        <color rgb="FF0070C0"/>
        <rFont val="Aptos Narrow"/>
        <family val="2"/>
        <scheme val="minor"/>
      </rPr>
      <t>Financing sufficiency</t>
    </r>
    <r>
      <rPr>
        <b/>
        <sz val="11"/>
        <color rgb="FF00ABC5"/>
        <rFont val="Aptos Narrow"/>
        <family val="2"/>
        <scheme val="minor"/>
      </rPr>
      <t xml:space="preserve"> </t>
    </r>
    <r>
      <rPr>
        <sz val="11"/>
        <color theme="1"/>
        <rFont val="Aptos Narrow"/>
        <family val="2"/>
        <scheme val="minor"/>
      </rPr>
      <t>– are funding and finance arrangements sufficient to meet investment requirements?</t>
    </r>
  </si>
  <si>
    <t>A series of performance indicators for each component has been developed to assist with assessment. The intention is that these measures will indicate whether there is sufficient revenue, investment and financing within a Plan.</t>
  </si>
  <si>
    <t>The financial sustainability assessment is to be undertaken on water services in aggregate (being the summation of drinking water, wastewater and stormwater financial projections); however, in completing this assessment councils should consider the financial sustainability test measures for each individual water service.</t>
  </si>
  <si>
    <r>
      <t xml:space="preserve">The </t>
    </r>
    <r>
      <rPr>
        <b/>
        <sz val="11"/>
        <color rgb="FF0070C0"/>
        <rFont val="Aptos Narrow"/>
        <family val="2"/>
        <scheme val="minor"/>
      </rPr>
      <t xml:space="preserve">revenue sufficiency test </t>
    </r>
    <r>
      <rPr>
        <sz val="11"/>
        <color theme="1"/>
        <rFont val="Aptos Narrow"/>
        <family val="2"/>
        <scheme val="minor"/>
      </rPr>
      <t>asks councils to confirm:</t>
    </r>
  </si>
  <si>
    <t xml:space="preserve">     •  
     •
     •    </t>
  </si>
  <si>
    <t>That projected revenues are sufficient to cover the costs (including servicing debt) of water services delivery;
That projected revenues are sufficient to finance the required level of investment; and
Whether projected revenues have been assessed as meeting the ‘revenue sufficiency’ test.</t>
  </si>
  <si>
    <r>
      <t xml:space="preserve">The </t>
    </r>
    <r>
      <rPr>
        <b/>
        <sz val="11"/>
        <color rgb="FF0070C0"/>
        <rFont val="Aptos Narrow"/>
        <family val="2"/>
        <scheme val="minor"/>
      </rPr>
      <t xml:space="preserve">investment sufficiency test </t>
    </r>
    <r>
      <rPr>
        <sz val="11"/>
        <color theme="1"/>
        <rFont val="Aptos Narrow"/>
        <family val="2"/>
        <scheme val="minor"/>
      </rPr>
      <t>asks councils to confirm:</t>
    </r>
  </si>
  <si>
    <t>That the proposed level of investment is sufficient to meet levels of service, regulatory requirements and provide for growth;
That the proposed level of investment is fully funded by projected revenues and access to financing; and
Confirm that projected levels of investment have been assessed as meeting the ‘revenue sufficiency’ test.</t>
  </si>
  <si>
    <r>
      <t xml:space="preserve">The </t>
    </r>
    <r>
      <rPr>
        <b/>
        <sz val="11"/>
        <color rgb="FF0070C0"/>
        <rFont val="Aptos Narrow"/>
        <family val="2"/>
        <scheme val="minor"/>
      </rPr>
      <t xml:space="preserve">financing sufficiency test </t>
    </r>
    <r>
      <rPr>
        <sz val="11"/>
        <color theme="1"/>
        <rFont val="Aptos Narrow"/>
        <family val="2"/>
        <scheme val="minor"/>
      </rPr>
      <t>asks councils to confirm:</t>
    </r>
  </si>
  <si>
    <t>Whether projected total council borrowings are within council borrowing limits;
Whether projected water services borrowings are within the council-determined limit for water services borrowing; and
That that the required levels of borrowings can be sourced; and
That the Plan meets the ‘financing sufficiency’ test.</t>
  </si>
  <si>
    <t>Purpose of this template</t>
  </si>
  <si>
    <t>This template is to assist councils in developing the financial projections required in Plans, as well as the population of financial measures and charts required in the Financial Sustainability Assessment.</t>
  </si>
  <si>
    <r>
      <rPr>
        <b/>
        <sz val="11"/>
        <color rgb="FF00ABC5"/>
        <rFont val="Aptos Narrow"/>
        <family val="2"/>
        <scheme val="minor"/>
      </rPr>
      <t>1. Charts</t>
    </r>
    <r>
      <rPr>
        <sz val="11"/>
        <color rgb="FF000000"/>
        <rFont val="Aptos Narrow"/>
        <family val="2"/>
        <scheme val="minor"/>
      </rPr>
      <t xml:space="preserve"> - this sheet is to populate input data to create the charts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</si>
  <si>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The charts are:</t>
  </si>
  <si>
    <t xml:space="preserve">     •  </t>
  </si>
  <si>
    <r>
      <rPr>
        <b/>
        <sz val="11"/>
        <color rgb="FF0070C0"/>
        <rFont val="Aptos Narrow"/>
        <family val="2"/>
        <scheme val="minor"/>
      </rPr>
      <t>Projected water services revenue and expenses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revenues and costs, as well as projected net surpluses or deficits in section </t>
    </r>
    <r>
      <rPr>
        <b/>
        <i/>
        <sz val="11"/>
        <color rgb="FF00ABC5"/>
        <rFont val="Aptos Narrow"/>
        <family val="2"/>
        <scheme val="minor"/>
      </rPr>
      <t>'Financial sustainability assessment- Revenue Sufficiency'</t>
    </r>
    <r>
      <rPr>
        <sz val="11"/>
        <color theme="1"/>
        <rFont val="Aptos Narrow"/>
        <family val="2"/>
        <scheme val="minor"/>
      </rPr>
      <t>;</t>
    </r>
  </si>
  <si>
    <r>
      <rPr>
        <b/>
        <sz val="11"/>
        <color rgb="FF0070C0"/>
        <rFont val="Aptos Narrow"/>
        <family val="2"/>
        <scheme val="minor"/>
      </rPr>
      <t>Projected water services investment requirements</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investment split between renewals, improving levels of service and growth, and compares this level of investment to projected depreciation charges - in section </t>
    </r>
    <r>
      <rPr>
        <b/>
        <i/>
        <sz val="11"/>
        <color rgb="FF00ABC5"/>
        <rFont val="Aptos Narrow"/>
        <family val="2"/>
        <scheme val="minor"/>
      </rPr>
      <t>'Financial sustainability assessment- Investment Sufficiency'</t>
    </r>
    <r>
      <rPr>
        <sz val="11"/>
        <color theme="1"/>
        <rFont val="Aptos Narrow"/>
        <family val="2"/>
        <scheme val="minor"/>
      </rPr>
      <t>;</t>
    </r>
  </si>
  <si>
    <r>
      <rPr>
        <b/>
        <sz val="11"/>
        <color rgb="FF0070C0"/>
        <rFont val="Aptos Narrow"/>
        <family val="2"/>
        <scheme val="minor"/>
      </rPr>
      <t>Projected council net debt to operating revenue</t>
    </r>
    <r>
      <rPr>
        <sz val="11"/>
        <rFont val="Aptos Narrow"/>
        <family val="2"/>
        <scheme val="minor"/>
      </rPr>
      <t xml:space="preserve"> - </t>
    </r>
    <r>
      <rPr>
        <sz val="11"/>
        <color theme="1"/>
        <rFont val="Aptos Narrow"/>
        <family val="2"/>
        <scheme val="minor"/>
      </rPr>
      <t xml:space="preserve">shows projected council net debt and operating revenues, and net debt to operating revenue against borrowing limits - in section </t>
    </r>
    <r>
      <rPr>
        <b/>
        <i/>
        <sz val="11"/>
        <color rgb="FF00ABC5"/>
        <rFont val="Aptos Narrow"/>
        <family val="2"/>
        <scheme val="minor"/>
      </rPr>
      <t>'Financial sustainability assessment- Financing Sufficiency'</t>
    </r>
    <r>
      <rPr>
        <sz val="11"/>
        <color theme="1"/>
        <rFont val="Aptos Narrow"/>
        <family val="2"/>
        <scheme val="minor"/>
      </rPr>
      <t>; and</t>
    </r>
  </si>
  <si>
    <r>
      <rPr>
        <b/>
        <sz val="11"/>
        <color rgb="FF0070C0"/>
        <rFont val="Aptos Narrow"/>
        <family val="2"/>
        <scheme val="minor"/>
      </rPr>
      <t>Projected water services net debt to operating revenue</t>
    </r>
    <r>
      <rPr>
        <sz val="11"/>
        <color rgb="FF0070C0"/>
        <rFont val="Aptos Narrow"/>
        <family val="2"/>
        <scheme val="minor"/>
      </rPr>
      <t xml:space="preserve"> </t>
    </r>
    <r>
      <rPr>
        <sz val="11"/>
        <rFont val="Aptos Narrow"/>
        <family val="2"/>
        <scheme val="minor"/>
      </rPr>
      <t xml:space="preserve">- </t>
    </r>
    <r>
      <rPr>
        <sz val="11"/>
        <color theme="1"/>
        <rFont val="Aptos Narrow"/>
        <family val="2"/>
        <scheme val="minor"/>
      </rPr>
      <t xml:space="preserve">shows projected waters services net debt and operating revenues, and net debt to operating revenue against borrowing limits - in section </t>
    </r>
    <r>
      <rPr>
        <b/>
        <i/>
        <sz val="11"/>
        <color rgb="FF00ABC5"/>
        <rFont val="Aptos Narrow"/>
        <family val="2"/>
        <scheme val="minor"/>
      </rPr>
      <t>'Financial sustainability assessment- Financing Sufficiency'.</t>
    </r>
  </si>
  <si>
    <r>
      <rPr>
        <b/>
        <sz val="11"/>
        <color rgb="FF00ABC5"/>
        <rFont val="Aptos Narrow"/>
        <family val="2"/>
        <scheme val="minor"/>
      </rPr>
      <t>2. Measures</t>
    </r>
    <r>
      <rPr>
        <sz val="11"/>
        <color rgb="FF000000"/>
        <rFont val="Aptos Narrow"/>
        <family val="2"/>
        <scheme val="minor"/>
      </rPr>
      <t xml:space="preserve"> - this sheet is to populate input data for performance measures required in the </t>
    </r>
    <r>
      <rPr>
        <b/>
        <i/>
        <sz val="11"/>
        <color rgb="FF00ABC5"/>
        <rFont val="Aptos Narrow"/>
        <family val="2"/>
        <scheme val="minor"/>
      </rPr>
      <t>'Financial Sustainability'</t>
    </r>
    <r>
      <rPr>
        <i/>
        <sz val="11"/>
        <color rgb="FF000000"/>
        <rFont val="Aptos Narrow"/>
        <family val="2"/>
        <scheme val="minor"/>
      </rPr>
      <t xml:space="preserve"> </t>
    </r>
    <r>
      <rPr>
        <sz val="11"/>
        <color rgb="FF000000"/>
        <rFont val="Aptos Narrow"/>
        <family val="2"/>
        <scheme val="minor"/>
      </rPr>
      <t>sections of the Plan Template.</t>
    </r>
  </si>
  <si>
    <t>Revenue sufficiency measures:</t>
  </si>
  <si>
    <r>
      <rPr>
        <b/>
        <sz val="11"/>
        <color rgb="FF0070C0"/>
        <rFont val="Aptos Narrow"/>
        <family val="2"/>
        <scheme val="minor"/>
      </rPr>
      <t>Projected average water charges per connection</t>
    </r>
    <r>
      <rPr>
        <b/>
        <sz val="11"/>
        <color theme="1"/>
        <rFont val="Aptos Narrow"/>
        <family val="2"/>
        <scheme val="minor"/>
      </rPr>
      <t xml:space="preserve"> </t>
    </r>
    <r>
      <rPr>
        <sz val="11"/>
        <color theme="1"/>
        <rFont val="Aptos Narrow"/>
        <family val="2"/>
        <scheme val="minor"/>
      </rPr>
      <t>- average charges per connection for each water service, and total for water services, inclusive of GST; and year on year increases in average charges per connection.</t>
    </r>
  </si>
  <si>
    <r>
      <rPr>
        <b/>
        <sz val="11"/>
        <color rgb="FF0070C0"/>
        <rFont val="Aptos Narrow"/>
        <family val="2"/>
        <scheme val="minor"/>
      </rPr>
      <t>Water services charges as a percentage of median household income</t>
    </r>
    <r>
      <rPr>
        <sz val="11"/>
        <color theme="1"/>
        <rFont val="Aptos Narrow"/>
        <family val="2"/>
        <scheme val="minor"/>
      </rPr>
      <t xml:space="preserve"> - average household water bills for water services divided by projected median household income.</t>
    </r>
  </si>
  <si>
    <r>
      <rPr>
        <b/>
        <sz val="11"/>
        <color rgb="FF0070C0"/>
        <rFont val="Aptos Narrow"/>
        <family val="2"/>
        <scheme val="minor"/>
      </rPr>
      <t>Operating surplus ratio</t>
    </r>
    <r>
      <rPr>
        <sz val="11"/>
        <color theme="1"/>
        <rFont val="Aptos Narrow"/>
        <family val="2"/>
        <scheme val="minor"/>
      </rPr>
      <t xml:space="preserve"> - Operating surplus (excluding capital revenues) divided by operating revenues. This measures whether operating revenues cover operating expenses. A negative percentage indicates the percentage increase required for operating revenues to fully cover operating expenses.</t>
    </r>
  </si>
  <si>
    <r>
      <rPr>
        <b/>
        <sz val="11"/>
        <color rgb="FF0070C0"/>
        <rFont val="Aptos Narrow"/>
        <family val="2"/>
        <scheme val="minor"/>
      </rPr>
      <t>Operating cash ratio</t>
    </r>
    <r>
      <rPr>
        <sz val="11"/>
        <color rgb="FF0070C0"/>
        <rFont val="Aptos Narrow"/>
        <family val="2"/>
        <scheme val="minor"/>
      </rPr>
      <t xml:space="preserve"> </t>
    </r>
    <r>
      <rPr>
        <sz val="11"/>
        <color theme="1"/>
        <rFont val="Aptos Narrow"/>
        <family val="2"/>
        <scheme val="minor"/>
      </rPr>
      <t>- Operating surplus plus depreciation plus interests costs minus capital revenues, divided by operating revenue. This measures how much cash is generated from operating revenues once cash operating costs are deducted.</t>
    </r>
  </si>
  <si>
    <t>Investment sufficiency measures:</t>
  </si>
  <si>
    <r>
      <rPr>
        <b/>
        <sz val="11"/>
        <color rgb="FF0070C0"/>
        <rFont val="Aptos Narrow"/>
        <family val="2"/>
        <scheme val="minor"/>
      </rPr>
      <t>Asset sustainability ratio</t>
    </r>
    <r>
      <rPr>
        <sz val="11"/>
        <color theme="1"/>
        <rFont val="Aptos Narrow"/>
        <family val="2"/>
        <scheme val="minor"/>
      </rPr>
      <t xml:space="preserve"> - Capital expenditure on renewals divided by depreciation, minus 1. This assesses whether projected renewals investment is more or less than projected depreciation, and is an indicator as to whether the renewals programme is replacing network assets in line with the rate of asset deterioration.</t>
    </r>
  </si>
  <si>
    <r>
      <rPr>
        <b/>
        <sz val="11"/>
        <color rgb="FF0070C0"/>
        <rFont val="Aptos Narrow"/>
        <family val="2"/>
        <scheme val="minor"/>
      </rPr>
      <t>Asset investment ratio</t>
    </r>
    <r>
      <rPr>
        <sz val="11"/>
        <color theme="1"/>
        <rFont val="Aptos Narrow"/>
        <family val="2"/>
        <scheme val="minor"/>
      </rPr>
      <t xml:space="preserve"> - Total capital expenditure divided by depreciation, minus 1. This compares total investment to projected depreciation.</t>
    </r>
  </si>
  <si>
    <r>
      <rPr>
        <b/>
        <sz val="11"/>
        <color rgb="FF0070C0"/>
        <rFont val="Aptos Narrow"/>
        <family val="2"/>
        <scheme val="minor"/>
      </rPr>
      <t>Asset consumption ratio</t>
    </r>
    <r>
      <rPr>
        <sz val="11"/>
        <color theme="1"/>
        <rFont val="Aptos Narrow"/>
        <family val="2"/>
        <scheme val="minor"/>
      </rPr>
      <t xml:space="preserve"> - Book value of infrastructure assets divided by replacement value of infrastructure assets. This represents the average remaining useful life of network assets. If this ratio materially reduces over time, then this means that the burden on future consumers to replace network assets is increasing.</t>
    </r>
  </si>
  <si>
    <t>Financing sufficiency measures:</t>
  </si>
  <si>
    <r>
      <rPr>
        <b/>
        <sz val="11"/>
        <color rgb="FF0070C0"/>
        <rFont val="Aptos Narrow"/>
        <family val="2"/>
        <scheme val="minor"/>
      </rPr>
      <t>Net debt to operating revenue ratio</t>
    </r>
    <r>
      <rPr>
        <sz val="11"/>
        <color theme="1"/>
        <rFont val="Aptos Narrow"/>
        <family val="2"/>
        <scheme val="minor"/>
      </rPr>
      <t xml:space="preserve"> - gross borrowings minus cash and equivalents, divided by operating revenue.</t>
    </r>
  </si>
  <si>
    <r>
      <rPr>
        <b/>
        <sz val="11"/>
        <color rgb="FF0070C0"/>
        <rFont val="Aptos Narrow"/>
        <family val="2"/>
        <scheme val="minor"/>
      </rPr>
      <t>Borrowing headroom/(shortfall) for water services</t>
    </r>
    <r>
      <rPr>
        <b/>
        <sz val="11"/>
        <color theme="1"/>
        <rFont val="Aptos Narrow"/>
        <family val="2"/>
        <scheme val="minor"/>
      </rPr>
      <t xml:space="preserve"> </t>
    </r>
    <r>
      <rPr>
        <sz val="11"/>
        <color theme="1"/>
        <rFont val="Aptos Narrow"/>
        <family val="2"/>
        <scheme val="minor"/>
      </rPr>
      <t>- Maximum allowable net debt at borrowing limit (operating revenue multiplied by ‘net debt to operating revenue limit for water services’) minus projected net debt attributed to water services. This shows whether projected borrowings are within borrowing limits, as well as the ability to borrow for unforeseen events. A positive number equates to the additional amount of borrowings that could be taken on at current revenue levels, without exceeding borrowing limits. A negative number means borrowings exceed the borrowing limit.</t>
    </r>
  </si>
  <si>
    <r>
      <rPr>
        <b/>
        <sz val="11"/>
        <color rgb="FF0070C0"/>
        <rFont val="Aptos Narrow"/>
        <family val="2"/>
        <scheme val="minor"/>
      </rPr>
      <t>Free funds from operations to net debt</t>
    </r>
    <r>
      <rPr>
        <sz val="11"/>
        <color rgb="FF0070C0"/>
        <rFont val="Aptos Narrow"/>
        <family val="2"/>
        <scheme val="minor"/>
      </rPr>
      <t xml:space="preserve"> </t>
    </r>
    <r>
      <rPr>
        <sz val="11"/>
        <color theme="1"/>
        <rFont val="Aptos Narrow"/>
        <family val="2"/>
        <scheme val="minor"/>
      </rPr>
      <t xml:space="preserve">- Free funds from operations for water services (operating revenue minus operating expenses plus depreciation and other non-cash expenses, less interest revenue), divided by net debt (gross borrowings minus cash and equivalents). Operating revenue has been used as a proxy for simplicity - councils may wish to modify this to LGFA's definition of revenue (“Cash earnings from rates, grants and subsidies, user charges, interest, dividends, financial and other revenue and excludes non-government capital contributions (e.g. developer contributions and vested assets)”).
</t>
    </r>
  </si>
  <si>
    <r>
      <rPr>
        <b/>
        <sz val="11"/>
        <color rgb="FF00ABC5"/>
        <rFont val="Aptos Narrow"/>
        <family val="2"/>
        <scheme val="minor"/>
      </rPr>
      <t>3. Investment</t>
    </r>
    <r>
      <rPr>
        <sz val="11"/>
        <color rgb="FF000000"/>
        <rFont val="Aptos Narrow"/>
        <family val="2"/>
        <scheme val="minor"/>
      </rPr>
      <t xml:space="preserve"> - this sheet is to populate input data for investment disclosures in the Plan Template. </t>
    </r>
  </si>
  <si>
    <r>
      <rPr>
        <b/>
        <sz val="11"/>
        <color rgb="FF0070C0"/>
        <rFont val="Aptos Narrow"/>
        <family val="2"/>
        <scheme val="minor"/>
      </rPr>
      <t>Projected investment in water services</t>
    </r>
    <r>
      <rPr>
        <sz val="11"/>
        <color theme="1"/>
        <rFont val="Aptos Narrow"/>
        <family val="2"/>
        <scheme val="minor"/>
      </rPr>
      <t xml:space="preserve"> - summarises projected investment for each water service - in section </t>
    </r>
    <r>
      <rPr>
        <b/>
        <i/>
        <sz val="11"/>
        <color rgb="FF00ABC5"/>
        <rFont val="Aptos Narrow"/>
        <family val="2"/>
        <scheme val="minor"/>
      </rPr>
      <t>'Projected investment in water services infrastructure'</t>
    </r>
    <r>
      <rPr>
        <sz val="11"/>
        <color theme="1"/>
        <rFont val="Aptos Narrow"/>
        <family val="2"/>
        <scheme val="minor"/>
      </rPr>
      <t>.</t>
    </r>
  </si>
  <si>
    <r>
      <rPr>
        <b/>
        <sz val="11"/>
        <color rgb="FF0070C0"/>
        <rFont val="Aptos Narrow"/>
        <family val="2"/>
        <scheme val="minor"/>
      </rPr>
      <t>Delivery against targets</t>
    </r>
    <r>
      <rPr>
        <sz val="11"/>
        <color theme="1"/>
        <rFont val="Aptos Narrow"/>
        <family val="2"/>
        <scheme val="minor"/>
      </rPr>
      <t xml:space="preserve"> - demonstrates historical delivery against planned investment from FY18/19 to FY24/25 - in section </t>
    </r>
    <r>
      <rPr>
        <b/>
        <i/>
        <sz val="11"/>
        <color rgb="FF00ABC5"/>
        <rFont val="Aptos Narrow"/>
        <family val="2"/>
        <scheme val="minor"/>
      </rPr>
      <t xml:space="preserve">'Delivery against planned investment' </t>
    </r>
    <r>
      <rPr>
        <sz val="11"/>
        <color theme="1"/>
        <rFont val="Aptos Narrow"/>
        <family val="2"/>
        <scheme val="minor"/>
      </rPr>
      <t xml:space="preserve">under </t>
    </r>
    <r>
      <rPr>
        <b/>
        <i/>
        <sz val="11"/>
        <color rgb="FF00ABC5"/>
        <rFont val="Aptos Narrow"/>
        <family val="2"/>
        <scheme val="minor"/>
      </rPr>
      <t>'Assessment of investment sufficiency'</t>
    </r>
    <r>
      <rPr>
        <sz val="11"/>
        <color theme="1"/>
        <rFont val="Aptos Narrow"/>
        <family val="2"/>
        <scheme val="minor"/>
      </rPr>
      <t>.</t>
    </r>
  </si>
  <si>
    <r>
      <rPr>
        <b/>
        <sz val="11"/>
        <color rgb="FF0070C0"/>
        <rFont val="Aptos Narrow"/>
        <family val="2"/>
        <scheme val="minor"/>
      </rPr>
      <t>Significant capital projects for drinking water</t>
    </r>
    <r>
      <rPr>
        <sz val="11"/>
        <color theme="1"/>
        <rFont val="Aptos Narrow"/>
        <family val="2"/>
        <scheme val="minor"/>
      </rPr>
      <t xml:space="preserve"> - disclosure of material drinking water investment projects - in section </t>
    </r>
    <r>
      <rPr>
        <b/>
        <i/>
        <sz val="11"/>
        <color rgb="FF00ABC5"/>
        <rFont val="Aptos Narrow"/>
        <family val="2"/>
        <scheme val="minor"/>
      </rPr>
      <t>'Significant Capital Projects - drinking water'</t>
    </r>
    <r>
      <rPr>
        <sz val="11"/>
        <color theme="1"/>
        <rFont val="Aptos Narrow"/>
        <family val="2"/>
        <scheme val="minor"/>
      </rPr>
      <t>.</t>
    </r>
  </si>
  <si>
    <r>
      <rPr>
        <b/>
        <sz val="11"/>
        <color rgb="FF0070C0"/>
        <rFont val="Aptos Narrow"/>
        <family val="2"/>
        <scheme val="minor"/>
      </rPr>
      <t>Significant capital projects for wastewater</t>
    </r>
    <r>
      <rPr>
        <sz val="11"/>
        <color theme="1"/>
        <rFont val="Aptos Narrow"/>
        <family val="2"/>
        <scheme val="minor"/>
      </rPr>
      <t xml:space="preserve"> - disclosure of material wastewater investment projects - in section </t>
    </r>
    <r>
      <rPr>
        <b/>
        <i/>
        <sz val="11"/>
        <color rgb="FF00ABC5"/>
        <rFont val="Aptos Narrow"/>
        <family val="2"/>
        <scheme val="minor"/>
      </rPr>
      <t>'Significant Capital Projects - wastewater'</t>
    </r>
    <r>
      <rPr>
        <sz val="11"/>
        <color theme="1"/>
        <rFont val="Aptos Narrow"/>
        <family val="2"/>
        <scheme val="minor"/>
      </rPr>
      <t>.</t>
    </r>
  </si>
  <si>
    <r>
      <rPr>
        <b/>
        <sz val="11"/>
        <color rgb="FF0070C0"/>
        <rFont val="Aptos Narrow"/>
        <family val="2"/>
        <scheme val="minor"/>
      </rPr>
      <t>Significant capital projects for stormwater</t>
    </r>
    <r>
      <rPr>
        <sz val="11"/>
        <color theme="1"/>
        <rFont val="Aptos Narrow"/>
        <family val="2"/>
        <scheme val="minor"/>
      </rPr>
      <t xml:space="preserve"> - disclosure of material stormwater investment projects - in section </t>
    </r>
    <r>
      <rPr>
        <b/>
        <i/>
        <sz val="11"/>
        <color rgb="FF00ABC5"/>
        <rFont val="Aptos Narrow"/>
        <family val="2"/>
        <scheme val="minor"/>
      </rPr>
      <t>'Significant Capital Projects - stormwater'</t>
    </r>
    <r>
      <rPr>
        <sz val="11"/>
        <color theme="1"/>
        <rFont val="Aptos Narrow"/>
        <family val="2"/>
        <scheme val="minor"/>
      </rPr>
      <t>.</t>
    </r>
  </si>
  <si>
    <r>
      <rPr>
        <b/>
        <sz val="11"/>
        <color rgb="FF00ABC5"/>
        <rFont val="Aptos Narrow"/>
        <family val="2"/>
        <scheme val="minor"/>
      </rPr>
      <t>4. Financials - water services</t>
    </r>
    <r>
      <rPr>
        <sz val="11"/>
        <color rgb="FF000000"/>
        <rFont val="Aptos Narrow"/>
        <family val="2"/>
        <scheme val="minor"/>
      </rPr>
      <t xml:space="preserve"> - this sheet is to aggregate financial data for drinking water, wastewater and stormwater activities.</t>
    </r>
  </si>
  <si>
    <t>Projected Funding Impact Statement;</t>
  </si>
  <si>
    <t>Projected Statement of Comprehensive Revenue and Expense;</t>
  </si>
  <si>
    <t>Projected Statement of Cashflows; and</t>
  </si>
  <si>
    <t>Projected Statement of Financial Position.</t>
  </si>
  <si>
    <r>
      <rPr>
        <b/>
        <sz val="11"/>
        <color rgb="FF00ABC5"/>
        <rFont val="Aptos Narrow"/>
        <family val="2"/>
        <scheme val="minor"/>
      </rPr>
      <t>5. Financials - drinking water</t>
    </r>
    <r>
      <rPr>
        <sz val="11"/>
        <color rgb="FF000000"/>
        <rFont val="Aptos Narrow"/>
        <family val="2"/>
        <scheme val="minor"/>
      </rPr>
      <t xml:space="preserve"> - this sheet is to assist with the presentation of projected financial statements for drinking water.</t>
    </r>
  </si>
  <si>
    <r>
      <rPr>
        <b/>
        <sz val="11"/>
        <color rgb="FF00ABC5"/>
        <rFont val="Aptos Narrow"/>
        <family val="2"/>
        <scheme val="minor"/>
      </rPr>
      <t>6. Financials - wastewater</t>
    </r>
    <r>
      <rPr>
        <sz val="11"/>
        <color rgb="FF000000"/>
        <rFont val="Aptos Narrow"/>
        <family val="2"/>
        <scheme val="minor"/>
      </rPr>
      <t xml:space="preserve"> - this sheet is to assist with the presentation of projected financial statements for wastewater.</t>
    </r>
  </si>
  <si>
    <r>
      <rPr>
        <b/>
        <sz val="11"/>
        <color rgb="FF00ABC5"/>
        <rFont val="Aptos Narrow"/>
        <family val="2"/>
        <scheme val="minor"/>
      </rPr>
      <t>7. Financials - stormwater</t>
    </r>
    <r>
      <rPr>
        <sz val="11"/>
        <color rgb="FF000000"/>
        <rFont val="Aptos Narrow"/>
        <family val="2"/>
        <scheme val="minor"/>
      </rPr>
      <t xml:space="preserve"> - this sheet is to assist with the presentation of projected financial statements for stormwater.</t>
    </r>
  </si>
  <si>
    <t>The Department can prepare a version of this template populated with publicly available council data, upon request</t>
  </si>
  <si>
    <t>Upon request, the Department can provide councils with an updated version of this financial template which is populated with publicly available council financial information (for example, from 2024-34 Long Term Plans). To request a populated template, please email wsdp@dia.govt.nz.</t>
  </si>
  <si>
    <t>Input assumptions for data not included in Long Term Plans</t>
  </si>
  <si>
    <t>Assumption input</t>
  </si>
  <si>
    <t>Drinking water</t>
  </si>
  <si>
    <t>Wastewater</t>
  </si>
  <si>
    <t>Stormwater</t>
  </si>
  <si>
    <t>Water Serv</t>
  </si>
  <si>
    <t>Rating units (rateable properties) / number connections (2023/24)</t>
  </si>
  <si>
    <t>s</t>
  </si>
  <si>
    <t>Annual growth rate (in connections / ratable properties)</t>
  </si>
  <si>
    <t>a</t>
  </si>
  <si>
    <t>Percentage of rates attibutable to residential customers</t>
  </si>
  <si>
    <t>Infrastructure Assets - Cost (30 June 2024)</t>
  </si>
  <si>
    <t>Infrastructure Assets - Accumlated Depreciation (30 June 2024)</t>
  </si>
  <si>
    <t>Cash and equivalents (at 30 June 2024)</t>
  </si>
  <si>
    <t>Borrowings (at 30 June 2024)</t>
  </si>
  <si>
    <t>Maximum debt to operating revenue (limit)</t>
  </si>
  <si>
    <t>Revaluation Reserve (30 June 2024)</t>
  </si>
  <si>
    <t>Infrastructure Assets - Replacement Cost (30 June 2024)</t>
  </si>
  <si>
    <t>Percentage of development contributions included</t>
  </si>
  <si>
    <t>LGFA FFO:debt covenant</t>
  </si>
  <si>
    <t>DEPRECIATION</t>
  </si>
  <si>
    <t>FY24/25</t>
  </si>
  <si>
    <t>FY25/26</t>
  </si>
  <si>
    <t>FY26/27</t>
  </si>
  <si>
    <t>FY27/28</t>
  </si>
  <si>
    <t>FY28/29</t>
  </si>
  <si>
    <t>FY29/30</t>
  </si>
  <si>
    <t>FY30/31</t>
  </si>
  <si>
    <t>FY31/32</t>
  </si>
  <si>
    <t>FY32/33</t>
  </si>
  <si>
    <t>FY33/34</t>
  </si>
  <si>
    <t>FY23/24</t>
  </si>
  <si>
    <t>Depreciation - drinking water</t>
  </si>
  <si>
    <t>v</t>
  </si>
  <si>
    <t>Depreciation - wastewater</t>
  </si>
  <si>
    <t>Depreciation - stormwater</t>
  </si>
  <si>
    <t>REVALUATION MOVEMENTS</t>
  </si>
  <si>
    <t>Revaluation movements - drinking water</t>
  </si>
  <si>
    <t>Revaluation movements - wastewater</t>
  </si>
  <si>
    <t>Revaluation movements - stormwater</t>
  </si>
  <si>
    <t>REPLACEMENT VALUE</t>
  </si>
  <si>
    <t>Replacement value - drinking water</t>
  </si>
  <si>
    <t>Replacement value - wastewater</t>
  </si>
  <si>
    <t>Replacement value - stormwater</t>
  </si>
  <si>
    <t>Total replacement value</t>
  </si>
  <si>
    <t>BOOK VALUE</t>
  </si>
  <si>
    <t>Book value - drinking water</t>
  </si>
  <si>
    <t>Book value - wastewater</t>
  </si>
  <si>
    <t>Book value - stormwater</t>
  </si>
  <si>
    <t>Book value to replacement value - drinking water</t>
  </si>
  <si>
    <t>Book value to replacement value - wastewater</t>
  </si>
  <si>
    <t>Book value to replacement value - stormwater</t>
  </si>
  <si>
    <t>NUMBER OF CONNECTIONS</t>
  </si>
  <si>
    <t>Connections - drinking water</t>
  </si>
  <si>
    <t>Connections - wastewater</t>
  </si>
  <si>
    <t>Connections - stormwater</t>
  </si>
  <si>
    <t>MEDIAN HOUSEHOLD INCOME</t>
  </si>
  <si>
    <t>Projected median household income ($000)</t>
  </si>
  <si>
    <t>FINANCIAL SUSTAINABILITY CHARTS</t>
  </si>
  <si>
    <t>Projected council net debt to operating revenue</t>
  </si>
  <si>
    <t>24/25</t>
  </si>
  <si>
    <t>25/26</t>
  </si>
  <si>
    <t>26/27</t>
  </si>
  <si>
    <t>27/28</t>
  </si>
  <si>
    <t>28/29</t>
  </si>
  <si>
    <t>29/30</t>
  </si>
  <si>
    <t>30/31</t>
  </si>
  <si>
    <t>31/32</t>
  </si>
  <si>
    <t>32/33</t>
  </si>
  <si>
    <t>33/34</t>
  </si>
  <si>
    <t>Total operating revenue ($m)</t>
  </si>
  <si>
    <t>Net debt ($m)</t>
  </si>
  <si>
    <t>Debt headroom to limit ($m)</t>
  </si>
  <si>
    <t>Net debt to operating revenue (%)</t>
  </si>
  <si>
    <t>Borrowing limit (%)</t>
  </si>
  <si>
    <t>Don't sum</t>
  </si>
  <si>
    <t>Projected water services net debt to operating revenue</t>
  </si>
  <si>
    <t>Water borrowing limit (%)</t>
  </si>
  <si>
    <t>Projected water services investment requirements</t>
  </si>
  <si>
    <t>To replace existing assets ($m)</t>
  </si>
  <si>
    <t>To improve levels of service ($m)</t>
  </si>
  <si>
    <t>To meet additional demand ($m)</t>
  </si>
  <si>
    <t>Depreciation ($m)</t>
  </si>
  <si>
    <t>Free funds from operations (FFO) to debt ratio</t>
  </si>
  <si>
    <t>Total net debt ($m)</t>
  </si>
  <si>
    <t>Funds from operations ($m)</t>
  </si>
  <si>
    <t>FFO to debt ratio</t>
  </si>
  <si>
    <t>Projected water services debt headroom (FFO)</t>
  </si>
  <si>
    <t>Water services FFO covenant (LGFA)</t>
  </si>
  <si>
    <t>Free funds from operations (LGFA) ($m)</t>
  </si>
  <si>
    <t>Debt headroom to FFO covenant ($m)</t>
  </si>
  <si>
    <t>Projected water services revenue and expenses</t>
  </si>
  <si>
    <t>Expenses (excl. depn, interest) ($m)</t>
  </si>
  <si>
    <t>Interest costs ($m)</t>
  </si>
  <si>
    <t>Operating revenue ($m)</t>
  </si>
  <si>
    <t>Net operating surplus/(deficit) ($m)</t>
  </si>
  <si>
    <t>Sustainability measures: Revenue sufficiency</t>
  </si>
  <si>
    <t>Average charge per connection including GST</t>
  </si>
  <si>
    <t>Average drinking water bill (including GST)</t>
  </si>
  <si>
    <t>Average wastewater bill (including GST)</t>
  </si>
  <si>
    <t>Average stormwater bill (including GST)</t>
  </si>
  <si>
    <t>Projected increase</t>
  </si>
  <si>
    <t>Projected number of connections</t>
  </si>
  <si>
    <t>Projected median household income</t>
  </si>
  <si>
    <t>Water services charges as % of household income</t>
  </si>
  <si>
    <t>Rates revenue</t>
  </si>
  <si>
    <t>Total</t>
  </si>
  <si>
    <t>General and targeted rates</t>
  </si>
  <si>
    <t>Operating surplus ratio</t>
  </si>
  <si>
    <t>Operating surplus/(deficit) excluding capital revenues</t>
  </si>
  <si>
    <t>Total operating revenue</t>
  </si>
  <si>
    <t>Operating cash ratio</t>
  </si>
  <si>
    <t>Operating surplus/(deficit) + depreciation + interest  costs - capital revenue</t>
  </si>
  <si>
    <t>Sustainability measures: Investment sufficiency</t>
  </si>
  <si>
    <t>Asset sustainability ratio</t>
  </si>
  <si>
    <t>Capital expenditure on renewals</t>
  </si>
  <si>
    <t>Depreciation</t>
  </si>
  <si>
    <t>Asset investment ratio</t>
  </si>
  <si>
    <t>Capital expenditure</t>
  </si>
  <si>
    <t>Asset consumption ratio</t>
  </si>
  <si>
    <t>Book value of infrastructure assets</t>
  </si>
  <si>
    <t>Total estimated replacement value of infrastructure assets</t>
  </si>
  <si>
    <t>Sustainability measures: Financing sufficiency</t>
  </si>
  <si>
    <t>Net debt</t>
  </si>
  <si>
    <t>Total borrowings</t>
  </si>
  <si>
    <t>Less: cash and financial assets</t>
  </si>
  <si>
    <t>Net debt to operating revenue</t>
  </si>
  <si>
    <t>Total net debt (gross debt less cash)</t>
  </si>
  <si>
    <t>Operating revenue</t>
  </si>
  <si>
    <t>Borrowings headroom/(shortfall) against limit</t>
  </si>
  <si>
    <t>Debt to revenue limit</t>
  </si>
  <si>
    <t>Maximum allowable net debt</t>
  </si>
  <si>
    <t>Total net debt</t>
  </si>
  <si>
    <t>Borrowing headroom/ (shortfall) against limit</t>
  </si>
  <si>
    <t>Operating revenue (plus 50% DCs minus interest income)</t>
  </si>
  <si>
    <t>Less Expenses (minus depreciation and non-cash items)</t>
  </si>
  <si>
    <t>Free funds from operations</t>
  </si>
  <si>
    <t>Funds from operations</t>
  </si>
  <si>
    <t>Interest coverage ratio</t>
  </si>
  <si>
    <t>Cash interest</t>
  </si>
  <si>
    <t>=('4. Financials - water services'!E8+'4. Financials - water services'!E20+'4. Financials - water services'!E23+'4. Financials - water services'!E24+'4. Financials - water services'!E21*Input!$F$14)</t>
  </si>
  <si>
    <t>250806 CDC WSDP.xlsx</t>
  </si>
  <si>
    <t>250806 MDC WSDP.xlsx</t>
  </si>
  <si>
    <t>250806 SWDC WSDP.xlsx</t>
  </si>
  <si>
    <t>250811 TDC WSDP.xlsx</t>
  </si>
  <si>
    <t>Combined</t>
  </si>
  <si>
    <t>Projected investment in water services</t>
  </si>
  <si>
    <t>Capital expenditure - to meet additional demand</t>
  </si>
  <si>
    <t>Capital expenditure - to improve levels of services</t>
  </si>
  <si>
    <t>Capital expenditure - to replace existing assets</t>
  </si>
  <si>
    <t>Total projected investment for drinking water</t>
  </si>
  <si>
    <t>Total projected investment for wastewater</t>
  </si>
  <si>
    <t>Total projected investment for stormwater</t>
  </si>
  <si>
    <t>Total projected investment in water services</t>
  </si>
  <si>
    <t>Delivery against planned investment</t>
  </si>
  <si>
    <t>Renewals investment for water services</t>
  </si>
  <si>
    <t>Total Investment in water services</t>
  </si>
  <si>
    <t>FY2024/25</t>
  </si>
  <si>
    <t>FY21/22 - FY23/24</t>
  </si>
  <si>
    <t xml:space="preserve">FY18/19 - FY20/21 </t>
  </si>
  <si>
    <t xml:space="preserve">Total planned investment (set in the relevant LTP) </t>
  </si>
  <si>
    <t>Total actual investment</t>
  </si>
  <si>
    <t>Delivery against planned investment (%)</t>
  </si>
  <si>
    <t>Significant capital projects - drinking water</t>
  </si>
  <si>
    <t>Projects to meet additional demand</t>
  </si>
  <si>
    <t>Total investment to meet additional demand</t>
  </si>
  <si>
    <t>Projects to improve levels of services</t>
  </si>
  <si>
    <t>Total investment to improve levels of services</t>
  </si>
  <si>
    <t>Projects to replace existing assets</t>
  </si>
  <si>
    <t>Total investment to replace existing assets</t>
  </si>
  <si>
    <t>Total investment in drinking water assets</t>
  </si>
  <si>
    <t>Significant capital projects - wastewater</t>
  </si>
  <si>
    <t>Total investment in wastewater assets</t>
  </si>
  <si>
    <t>Significant capital projects - stormwater</t>
  </si>
  <si>
    <t>Total investment in stormwater assets</t>
  </si>
  <si>
    <t>Funding impact statement ($000)</t>
  </si>
  <si>
    <t>Sources of operating funding</t>
  </si>
  <si>
    <t>General rates</t>
  </si>
  <si>
    <t>Targeted rates</t>
  </si>
  <si>
    <t>Subsidies and grants for operating purposes</t>
  </si>
  <si>
    <t>Local authorities fuel tax, fines, infringement fees and other receipts</t>
  </si>
  <si>
    <t>Fees and charges</t>
  </si>
  <si>
    <t>Total operating funding</t>
  </si>
  <si>
    <t>Applications of operating funding</t>
  </si>
  <si>
    <t>Payments to staff and suppliers</t>
  </si>
  <si>
    <t>Finance costs</t>
  </si>
  <si>
    <t>Internal charges and overheads applied</t>
  </si>
  <si>
    <t>Other operating funding applications</t>
  </si>
  <si>
    <t>Total applications of operating funding</t>
  </si>
  <si>
    <t>Surplus/(deficit) of operating funding</t>
  </si>
  <si>
    <t>Sources of capital funding</t>
  </si>
  <si>
    <t>Subsidies and grants for capital expenditure</t>
  </si>
  <si>
    <t>Development and financial contributions</t>
  </si>
  <si>
    <t>Increase/(decrease) in debt</t>
  </si>
  <si>
    <t>Gross proceeds from sales of assets</t>
  </si>
  <si>
    <t>Other dedicated capital funding</t>
  </si>
  <si>
    <t>Total sources of capital funding</t>
  </si>
  <si>
    <t>Applications of capital funding</t>
  </si>
  <si>
    <t>Increase/(decrease) in reserves</t>
  </si>
  <si>
    <t>Increase/(decrease) in investments</t>
  </si>
  <si>
    <t>Total applications of capital funding</t>
  </si>
  <si>
    <t>Surplus/(deficit) of capital funding</t>
  </si>
  <si>
    <t>Funding balance</t>
  </si>
  <si>
    <t>Statement of comprehensive revenue and expense ($000)</t>
  </si>
  <si>
    <t>Other revenue</t>
  </si>
  <si>
    <t>Total revenue</t>
  </si>
  <si>
    <t>Operating expenses</t>
  </si>
  <si>
    <t>Overheads and support costs</t>
  </si>
  <si>
    <t>Depreciation &amp; amortisation</t>
  </si>
  <si>
    <t>Total expenses</t>
  </si>
  <si>
    <t>Net surplus / (deficit)</t>
  </si>
  <si>
    <t>Revaluation of infrastructure assets</t>
  </si>
  <si>
    <t>Total comprehensive income</t>
  </si>
  <si>
    <t>Cash surplus / (deficit) from operations (excl depreciation)</t>
  </si>
  <si>
    <t>Statement of cashflows ($000)</t>
  </si>
  <si>
    <t>Cashflows from operating activities</t>
  </si>
  <si>
    <t>Cash surplus / (deficit) from operations</t>
  </si>
  <si>
    <t>[other items]</t>
  </si>
  <si>
    <t>Net cashflows from operating activities</t>
  </si>
  <si>
    <t>Cashflows from investment activities</t>
  </si>
  <si>
    <t>Net cashflows from investment activities</t>
  </si>
  <si>
    <t>Cashflows from financing activities</t>
  </si>
  <si>
    <t>New borrowings</t>
  </si>
  <si>
    <t>Repayment of borrowings</t>
  </si>
  <si>
    <t>Net cashflows from financing activities</t>
  </si>
  <si>
    <t>Net increase/(decrease) in cash and cash equivalents</t>
  </si>
  <si>
    <t>Cash and cash equivalents at beginning of year</t>
  </si>
  <si>
    <t>Cash and cash equivalents at end of year</t>
  </si>
  <si>
    <t>Statement of financial position ($000)</t>
  </si>
  <si>
    <t>Assets</t>
  </si>
  <si>
    <t>Cash and cash equivalents</t>
  </si>
  <si>
    <t>Other current assets</t>
  </si>
  <si>
    <t>Infrastructure assets</t>
  </si>
  <si>
    <t>Other non-current assets</t>
  </si>
  <si>
    <t>Total assets</t>
  </si>
  <si>
    <t>Liabilities</t>
  </si>
  <si>
    <t>Borrowings - current portion</t>
  </si>
  <si>
    <t>Other current liabilities</t>
  </si>
  <si>
    <t>Borrowings - non-current portion</t>
  </si>
  <si>
    <t>Other non-current liabilities</t>
  </si>
  <si>
    <t>Total liabilities</t>
  </si>
  <si>
    <t>Net assets</t>
  </si>
  <si>
    <t>Equity</t>
  </si>
  <si>
    <t>Revaluation reserve</t>
  </si>
  <si>
    <t>Other reserves</t>
  </si>
  <si>
    <t>Total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</si>
</sst>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0_ ;[Red]\(#,##0\)"/>
    <numFmt numFmtId="165" formatCode="0.0%"/>
    <numFmt numFmtId="166" formatCode="#,##0%\ ;\(#,##0%\)"/>
    <numFmt numFmtId="167" formatCode="#,##0.0_ ;[Red]\(#,##0.0\)"/>
    <numFmt numFmtId="168" formatCode="0.0%;[Red]\(0.0%\)"/>
    <numFmt numFmtId="169" formatCode="0%;[Red]\(0%\)"/>
    <numFmt numFmtId="170" formatCode="#,##0.00\ ;\(#,##0.00\)"/>
    <numFmt numFmtId="171" formatCode="#,##0.0%\ ;\(#,##0.0%\)"/>
    <numFmt numFmtId="172" formatCode="_-* #,##0_-;\-* #,##0_-;_-* &quot;-&quot;??_-;_-@_-"/>
    <numFmt numFmtId="173" formatCode="0.0000%"/>
    <numFmt numFmtId="174" formatCode="_-* #,##0.0_-;\-* #,##0.0_-;_-* &quot;-&quot;??_-;_-@_-"/>
    <numFmt numFmtId="175" formatCode="#,##0.0\ ;\(#,##0.0\)"/>
  </numFmts>
  <fonts count="2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FFFF"/>
      <name val="Calibri"/>
      <family val="2"/>
    </font>
    <font>
      <sz val="11"/>
      <color rgb="FF000000"/>
      <name val="Calibri"/>
      <family val="2"/>
    </font>
    <font>
      <sz val="11"/>
      <name val="Calibri"/>
      <family val="2"/>
    </font>
    <font>
      <sz val="10"/>
      <color theme="1"/>
      <name val="Aptos Narrow"/>
      <family val="2"/>
      <scheme val="minor"/>
    </font>
    <font>
      <b/>
      <sz val="20"/>
      <color rgb="FFFFFFFF"/>
      <name val="Aptos Narrow"/>
      <family val="2"/>
      <scheme val="minor"/>
    </font>
    <font>
      <sz val="14"/>
      <color theme="1"/>
      <name val="Aptos Narrow"/>
      <family val="2"/>
      <scheme val="minor"/>
    </font>
    <font>
      <b/>
      <sz val="11"/>
      <color rgb="FFFFFFFF"/>
      <name val="Aptos Narrow"/>
      <family val="2"/>
      <scheme val="minor"/>
    </font>
    <font>
      <b/>
      <i/>
      <sz val="11"/>
      <color rgb="FF00ABC5"/>
      <name val="Aptos Narrow"/>
      <family val="2"/>
      <scheme val="minor"/>
    </font>
    <font>
      <b/>
      <sz val="11"/>
      <color rgb="FF0070C0"/>
      <name val="Aptos Narrow"/>
      <family val="2"/>
      <scheme val="minor"/>
    </font>
    <font>
      <b/>
      <sz val="11"/>
      <color rgb="FF00ABC5"/>
      <name val="Aptos Narrow"/>
      <family val="2"/>
      <scheme val="minor"/>
    </font>
    <font>
      <sz val="11"/>
      <color rgb="FF000000"/>
      <name val="Aptos Narrow"/>
      <family val="2"/>
      <scheme val="minor"/>
    </font>
    <font>
      <i/>
      <sz val="11"/>
      <color rgb="FF000000"/>
      <name val="Aptos Narrow"/>
      <family val="2"/>
      <scheme val="minor"/>
    </font>
    <font>
      <sz val="11"/>
      <color rgb="FF0070C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b/>
      <sz val="11"/>
      <color theme="0"/>
      <name val="Calibri"/>
      <family val="2"/>
    </font>
    <font>
      <sz val="11"/>
      <color theme="1"/>
      <name val="Calibri"/>
      <family val="2"/>
    </font>
    <font>
      <sz val="11"/>
      <color rgb="FF3F3F76"/>
      <name val="Aptos Narrow"/>
      <family val="2"/>
      <scheme val="minor"/>
    </font>
    <font>
      <b/>
      <sz val="8"/>
      <color rgb="FF000000"/>
      <name val="Aptos "/>
    </font>
    <font>
      <sz val="8"/>
      <color theme="1"/>
      <name val="Aptos "/>
    </font>
  </fonts>
  <fills count="15">
    <fill>
      <patternFill patternType="none"/>
    </fill>
    <fill>
      <patternFill patternType="gray125"/>
    </fill>
    <fill>
      <patternFill patternType="solid">
        <fgColor rgb="FF7030A0"/>
        <bgColor indexed="64"/>
      </patternFill>
    </fill>
    <fill>
      <patternFill patternType="solid">
        <fgColor rgb="FFF1E8F8"/>
        <bgColor indexed="64"/>
      </patternFill>
    </fill>
    <fill>
      <patternFill patternType="solid">
        <fgColor theme="5" tint="0.79998168889431442"/>
        <bgColor indexed="64"/>
      </patternFill>
    </fill>
    <fill>
      <patternFill patternType="solid">
        <fgColor rgb="FFDBECEC"/>
        <bgColor indexed="64"/>
      </patternFill>
    </fill>
    <fill>
      <patternFill patternType="solid">
        <fgColor rgb="FFFBE2D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89996032593768116"/>
        <bgColor indexed="64"/>
      </patternFill>
    </fill>
    <fill>
      <patternFill patternType="solid">
        <fgColor theme="1"/>
        <bgColor indexed="64"/>
      </patternFill>
    </fill>
  </fills>
  <borders count="21">
    <border>
      <left/>
      <right/>
      <top/>
      <bottom/>
      <diagonal/>
    </border>
    <border>
      <left style="medium">
        <color rgb="FF7030A0"/>
      </left>
      <right/>
      <top/>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diagonal/>
    </border>
    <border>
      <left style="thick">
        <color rgb="FF7030A0"/>
      </left>
      <right/>
      <top style="medium">
        <color rgb="FF7030A0"/>
      </top>
      <bottom/>
      <diagonal/>
    </border>
    <border>
      <left/>
      <right style="thick">
        <color rgb="FF7030A0"/>
      </right>
      <top style="medium">
        <color rgb="FF7030A0"/>
      </top>
      <bottom/>
      <diagonal/>
    </border>
    <border>
      <left/>
      <right style="medium">
        <color rgb="FF7030A0"/>
      </right>
      <top style="medium">
        <color rgb="FF7030A0"/>
      </top>
      <bottom/>
      <diagonal/>
    </border>
    <border>
      <left style="thick">
        <color rgb="FF7030A0"/>
      </left>
      <right/>
      <top style="thick">
        <color rgb="FF7030A0"/>
      </top>
      <bottom/>
      <diagonal/>
    </border>
    <border>
      <left/>
      <right style="thick">
        <color rgb="FF7030A0"/>
      </right>
      <top style="thick">
        <color rgb="FF7030A0"/>
      </top>
      <bottom/>
      <diagonal/>
    </border>
    <border>
      <left/>
      <right style="medium">
        <color rgb="FF7030A0"/>
      </right>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style="thick">
        <color rgb="FF7030A0"/>
      </right>
      <top/>
      <bottom style="thick">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diagonal/>
    </border>
    <border>
      <left/>
      <right/>
      <top style="medium">
        <color rgb="FF7030A0"/>
      </top>
      <bottom style="medium">
        <color rgb="FF7030A0"/>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22" fillId="13" borderId="19" applyNumberFormat="0" applyFont="0" applyAlignment="0">
      <protection locked="0"/>
    </xf>
    <xf numFmtId="170" fontId="7" fillId="0" borderId="0" applyFont="0" applyFill="0" applyBorder="0" applyProtection="0"/>
    <xf numFmtId="166" fontId="7" fillId="0" borderId="0" applyFont="0" applyFill="0" applyBorder="0" applyProtection="0"/>
  </cellStyleXfs>
  <cellXfs count="134">
    <xf numFmtId="0" fontId="0" fillId="0" borderId="0" xfId="0"/>
    <xf numFmtId="0" fontId="1" fillId="0" borderId="0" xfId="3"/>
    <xf numFmtId="0" fontId="5" fillId="3" borderId="2" xfId="3" applyFont="1" applyFill="1" applyBorder="1" applyAlignment="1">
      <alignment horizontal="left" vertical="center" wrapText="1" readingOrder="1"/>
    </xf>
    <xf numFmtId="0" fontId="5" fillId="3" borderId="2" xfId="3" applyFont="1" applyFill="1" applyBorder="1" applyAlignment="1">
      <alignment horizontal="center" vertical="center" wrapText="1" readingOrder="1"/>
    </xf>
    <xf numFmtId="0" fontId="5" fillId="0" borderId="2" xfId="3" applyFont="1" applyBorder="1" applyAlignment="1">
      <alignment horizontal="left" vertical="center" wrapText="1" readingOrder="1"/>
    </xf>
    <xf numFmtId="164" fontId="6" fillId="5" borderId="2" xfId="3" applyNumberFormat="1" applyFont="1" applyFill="1" applyBorder="1" applyAlignment="1">
      <alignment vertical="center" wrapText="1"/>
    </xf>
    <xf numFmtId="9" fontId="6" fillId="5" borderId="2" xfId="4" applyFont="1" applyFill="1" applyBorder="1" applyAlignment="1">
      <alignment vertical="center" wrapText="1"/>
    </xf>
    <xf numFmtId="9" fontId="6" fillId="5" borderId="2" xfId="2" applyFont="1" applyFill="1" applyBorder="1"/>
    <xf numFmtId="164" fontId="6" fillId="6" borderId="2" xfId="3" applyNumberFormat="1" applyFont="1" applyFill="1" applyBorder="1" applyAlignment="1">
      <alignment vertical="center" wrapText="1"/>
    </xf>
    <xf numFmtId="0" fontId="5" fillId="7" borderId="2" xfId="3" applyFont="1" applyFill="1" applyBorder="1" applyAlignment="1">
      <alignment horizontal="left" vertical="center" wrapText="1" readingOrder="1"/>
    </xf>
    <xf numFmtId="164" fontId="6" fillId="8" borderId="2" xfId="3" applyNumberFormat="1" applyFont="1" applyFill="1" applyBorder="1" applyAlignment="1">
      <alignment vertical="center" wrapText="1"/>
    </xf>
    <xf numFmtId="164" fontId="6" fillId="7" borderId="2" xfId="3" applyNumberFormat="1" applyFont="1" applyFill="1" applyBorder="1" applyAlignment="1">
      <alignment vertical="center" wrapText="1"/>
    </xf>
    <xf numFmtId="0" fontId="1" fillId="2" borderId="3" xfId="3" applyFill="1" applyBorder="1" applyAlignment="1">
      <alignment vertical="top"/>
    </xf>
    <xf numFmtId="0" fontId="8" fillId="2" borderId="4" xfId="3" applyFont="1" applyFill="1" applyBorder="1" applyAlignment="1">
      <alignment vertical="top" readingOrder="1"/>
    </xf>
    <xf numFmtId="0" fontId="8" fillId="2" borderId="5" xfId="3" applyFont="1" applyFill="1" applyBorder="1" applyAlignment="1">
      <alignment vertical="top" readingOrder="1"/>
    </xf>
    <xf numFmtId="0" fontId="9" fillId="2" borderId="6" xfId="3" applyFont="1" applyFill="1" applyBorder="1" applyAlignment="1">
      <alignment vertical="top"/>
    </xf>
    <xf numFmtId="0" fontId="1" fillId="0" borderId="0" xfId="3" applyAlignment="1">
      <alignment vertical="top"/>
    </xf>
    <xf numFmtId="0" fontId="1" fillId="2" borderId="1" xfId="3" applyFill="1" applyBorder="1" applyAlignment="1">
      <alignment vertical="top"/>
    </xf>
    <xf numFmtId="0" fontId="1" fillId="9" borderId="7" xfId="3" applyFill="1" applyBorder="1" applyAlignment="1">
      <alignment vertical="top" wrapText="1"/>
    </xf>
    <xf numFmtId="0" fontId="1" fillId="9" borderId="8" xfId="3" applyFill="1" applyBorder="1" applyAlignment="1">
      <alignment vertical="top" wrapText="1"/>
    </xf>
    <xf numFmtId="0" fontId="1" fillId="2" borderId="9" xfId="3" applyFill="1" applyBorder="1" applyAlignment="1">
      <alignment vertical="top"/>
    </xf>
    <xf numFmtId="0" fontId="10" fillId="2" borderId="7" xfId="3" applyFont="1" applyFill="1" applyBorder="1" applyAlignment="1">
      <alignment vertical="top" readingOrder="1"/>
    </xf>
    <xf numFmtId="0" fontId="10" fillId="2" borderId="8" xfId="3" applyFont="1" applyFill="1" applyBorder="1" applyAlignment="1">
      <alignment vertical="top" readingOrder="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 fillId="9" borderId="10" xfId="3" applyFill="1" applyBorder="1" applyAlignment="1">
      <alignment horizontal="left" vertical="top"/>
    </xf>
    <xf numFmtId="0" fontId="1" fillId="9" borderId="11" xfId="3" applyFill="1" applyBorder="1" applyAlignment="1">
      <alignment horizontal="left" vertical="top"/>
    </xf>
    <xf numFmtId="0" fontId="1" fillId="9" borderId="10" xfId="3" applyFill="1" applyBorder="1" applyAlignment="1">
      <alignment vertical="top" wrapText="1"/>
    </xf>
    <xf numFmtId="0" fontId="1" fillId="9" borderId="11" xfId="3" applyFill="1" applyBorder="1" applyAlignment="1">
      <alignment vertical="top" wrapText="1"/>
    </xf>
    <xf numFmtId="0" fontId="10" fillId="2" borderId="10" xfId="3" applyFont="1" applyFill="1" applyBorder="1" applyAlignment="1">
      <alignment vertical="top" readingOrder="1"/>
    </xf>
    <xf numFmtId="0" fontId="10" fillId="2" borderId="11" xfId="3" applyFont="1" applyFill="1" applyBorder="1" applyAlignment="1">
      <alignment vertical="top" readingOrder="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13" fillId="9" borderId="10" xfId="3" applyFont="1" applyFill="1" applyBorder="1" applyAlignment="1">
      <alignment vertical="top"/>
    </xf>
    <xf numFmtId="0" fontId="14" fillId="3" borderId="10" xfId="3" applyFont="1" applyFill="1" applyBorder="1" applyAlignment="1">
      <alignment horizontal="left" vertical="top" readingOrder="1"/>
    </xf>
    <xf numFmtId="0" fontId="14" fillId="3" borderId="11" xfId="3" applyFont="1" applyFill="1" applyBorder="1" applyAlignment="1">
      <alignment horizontal="left" vertical="top" readingOrder="1"/>
    </xf>
    <xf numFmtId="0" fontId="1" fillId="9" borderId="12" xfId="3" applyFill="1" applyBorder="1" applyAlignment="1">
      <alignment vertical="top" wrapText="1"/>
    </xf>
    <xf numFmtId="0" fontId="1" fillId="9" borderId="13" xfId="3" applyFill="1" applyBorder="1" applyAlignment="1">
      <alignment vertical="top" wrapText="1"/>
    </xf>
    <xf numFmtId="0" fontId="1" fillId="2" borderId="14" xfId="3" applyFill="1" applyBorder="1" applyAlignment="1">
      <alignment vertical="top"/>
    </xf>
    <xf numFmtId="0" fontId="1" fillId="2" borderId="15" xfId="3" applyFill="1" applyBorder="1" applyAlignment="1">
      <alignment vertical="top"/>
    </xf>
    <xf numFmtId="0" fontId="1" fillId="2" borderId="16" xfId="3" applyFill="1" applyBorder="1" applyAlignment="1">
      <alignment vertical="top"/>
    </xf>
    <xf numFmtId="0" fontId="4" fillId="2" borderId="0" xfId="3" applyFont="1" applyFill="1" applyAlignment="1">
      <alignment vertical="center" readingOrder="1"/>
    </xf>
    <xf numFmtId="0" fontId="4" fillId="2" borderId="0" xfId="3" applyFont="1" applyFill="1" applyAlignment="1">
      <alignment vertical="center" wrapText="1" readingOrder="1"/>
    </xf>
    <xf numFmtId="0" fontId="18" fillId="3" borderId="2" xfId="3" applyFont="1" applyFill="1" applyBorder="1" applyAlignment="1">
      <alignment horizontal="left" vertical="center" wrapText="1" readingOrder="1"/>
    </xf>
    <xf numFmtId="0" fontId="18" fillId="3" borderId="2" xfId="3" applyFont="1" applyFill="1" applyBorder="1" applyAlignment="1">
      <alignment horizontal="center" vertical="center" wrapText="1" readingOrder="1"/>
    </xf>
    <xf numFmtId="9" fontId="1" fillId="0" borderId="0" xfId="2" applyFont="1"/>
    <xf numFmtId="167" fontId="6" fillId="7" borderId="2" xfId="3" applyNumberFormat="1" applyFont="1" applyFill="1" applyBorder="1" applyAlignment="1">
      <alignment vertical="center" wrapText="1"/>
    </xf>
    <xf numFmtId="9" fontId="6" fillId="7" borderId="2" xfId="4" applyFont="1" applyFill="1" applyBorder="1" applyAlignment="1">
      <alignment vertical="center" wrapText="1"/>
    </xf>
    <xf numFmtId="167" fontId="6" fillId="10" borderId="2" xfId="3" applyNumberFormat="1" applyFont="1" applyFill="1" applyBorder="1" applyAlignment="1">
      <alignment vertical="center" wrapText="1"/>
    </xf>
    <xf numFmtId="167" fontId="6" fillId="9" borderId="2" xfId="3" applyNumberFormat="1" applyFont="1" applyFill="1" applyBorder="1" applyAlignment="1">
      <alignment vertical="center" wrapText="1"/>
    </xf>
    <xf numFmtId="0" fontId="5" fillId="0" borderId="2" xfId="3" applyFont="1" applyBorder="1" applyAlignment="1">
      <alignment horizontal="left" vertical="center" readingOrder="1"/>
    </xf>
    <xf numFmtId="9" fontId="6" fillId="9" borderId="2" xfId="4" applyFont="1" applyFill="1" applyBorder="1" applyAlignment="1">
      <alignment vertical="center" wrapText="1"/>
    </xf>
    <xf numFmtId="167" fontId="6" fillId="0" borderId="2" xfId="3" applyNumberFormat="1" applyFont="1" applyBorder="1" applyAlignment="1">
      <alignment vertical="center" wrapText="1"/>
    </xf>
    <xf numFmtId="0" fontId="18" fillId="0" borderId="0" xfId="3" applyFont="1" applyAlignment="1">
      <alignment horizontal="left" vertical="center" wrapText="1" readingOrder="1"/>
    </xf>
    <xf numFmtId="164" fontId="6" fillId="0" borderId="2" xfId="4" applyNumberFormat="1" applyFont="1" applyFill="1" applyBorder="1" applyAlignment="1">
      <alignment vertical="center" wrapText="1"/>
    </xf>
    <xf numFmtId="164" fontId="6" fillId="8" borderId="2" xfId="4" applyNumberFormat="1" applyFont="1" applyFill="1" applyBorder="1" applyAlignment="1">
      <alignment vertical="center" wrapText="1"/>
    </xf>
    <xf numFmtId="164" fontId="6" fillId="7" borderId="2" xfId="4" applyNumberFormat="1" applyFont="1" applyFill="1" applyBorder="1" applyAlignment="1">
      <alignment vertical="center" wrapText="1"/>
    </xf>
    <xf numFmtId="165" fontId="6" fillId="0" borderId="2" xfId="4" applyNumberFormat="1" applyFont="1" applyFill="1" applyBorder="1" applyAlignment="1">
      <alignment vertical="center" wrapText="1"/>
    </xf>
    <xf numFmtId="0" fontId="5" fillId="0" borderId="0" xfId="3" applyFont="1" applyAlignment="1">
      <alignment horizontal="left" vertical="center" wrapText="1" readingOrder="1"/>
    </xf>
    <xf numFmtId="168" fontId="6" fillId="7" borderId="2" xfId="4" applyNumberFormat="1" applyFont="1" applyFill="1" applyBorder="1" applyAlignment="1">
      <alignment vertical="center" wrapText="1"/>
    </xf>
    <xf numFmtId="168" fontId="6" fillId="8" borderId="2" xfId="4" applyNumberFormat="1" applyFont="1" applyFill="1" applyBorder="1" applyAlignment="1">
      <alignment vertical="center" wrapText="1"/>
    </xf>
    <xf numFmtId="164" fontId="6" fillId="11" borderId="2" xfId="4" applyNumberFormat="1" applyFont="1" applyFill="1" applyBorder="1" applyAlignment="1">
      <alignment vertical="center" wrapText="1"/>
    </xf>
    <xf numFmtId="0" fontId="5" fillId="0" borderId="17" xfId="3" applyFont="1" applyBorder="1" applyAlignment="1">
      <alignment horizontal="left" vertical="center" wrapText="1" readingOrder="1"/>
    </xf>
    <xf numFmtId="164" fontId="1" fillId="0" borderId="0" xfId="3" applyNumberFormat="1"/>
    <xf numFmtId="168" fontId="1" fillId="0" borderId="0" xfId="3" applyNumberFormat="1"/>
    <xf numFmtId="164" fontId="6" fillId="0" borderId="0" xfId="4" applyNumberFormat="1" applyFont="1" applyFill="1" applyBorder="1" applyAlignment="1">
      <alignment vertical="center" wrapText="1"/>
    </xf>
    <xf numFmtId="169" fontId="6" fillId="7" borderId="2" xfId="4" applyNumberFormat="1" applyFont="1" applyFill="1" applyBorder="1" applyAlignment="1">
      <alignment vertical="center" wrapText="1"/>
    </xf>
    <xf numFmtId="169" fontId="1" fillId="0" borderId="0" xfId="3" applyNumberFormat="1"/>
    <xf numFmtId="169" fontId="6" fillId="0" borderId="2" xfId="4" applyNumberFormat="1" applyFont="1" applyFill="1" applyBorder="1" applyAlignment="1">
      <alignment vertical="center" wrapText="1"/>
    </xf>
    <xf numFmtId="0" fontId="18" fillId="0" borderId="15" xfId="3" applyFont="1" applyBorder="1" applyAlignment="1">
      <alignment horizontal="left" vertical="center" wrapText="1" readingOrder="1"/>
    </xf>
    <xf numFmtId="43" fontId="6" fillId="7" borderId="2" xfId="1" applyFont="1" applyFill="1" applyBorder="1"/>
    <xf numFmtId="43" fontId="1" fillId="0" borderId="0" xfId="1" applyFont="1"/>
    <xf numFmtId="0" fontId="19" fillId="0" borderId="0" xfId="3" applyFont="1" applyAlignment="1">
      <alignment horizontal="left" vertical="center" wrapText="1" readingOrder="1"/>
    </xf>
    <xf numFmtId="0" fontId="2" fillId="2" borderId="2" xfId="3" applyFont="1" applyFill="1" applyBorder="1" applyAlignment="1">
      <alignment horizontal="left" vertical="center" wrapText="1" readingOrder="1"/>
    </xf>
    <xf numFmtId="0" fontId="2" fillId="2" borderId="2" xfId="3" applyFont="1" applyFill="1" applyBorder="1" applyAlignment="1">
      <alignment horizontal="center" vertical="center" wrapText="1" readingOrder="1"/>
    </xf>
    <xf numFmtId="0" fontId="14" fillId="3" borderId="2" xfId="3" applyFont="1" applyFill="1" applyBorder="1" applyAlignment="1">
      <alignment horizontal="left" vertical="center" wrapText="1" readingOrder="1"/>
    </xf>
    <xf numFmtId="0" fontId="14" fillId="3" borderId="2" xfId="3" applyFont="1" applyFill="1" applyBorder="1" applyAlignment="1">
      <alignment horizontal="center" vertical="center" wrapText="1" readingOrder="1"/>
    </xf>
    <xf numFmtId="0" fontId="14" fillId="0" borderId="2" xfId="3" applyFont="1" applyBorder="1" applyAlignment="1">
      <alignment horizontal="left" vertical="center" wrapText="1" readingOrder="1"/>
    </xf>
    <xf numFmtId="164" fontId="17" fillId="0" borderId="2" xfId="4" applyNumberFormat="1" applyFont="1" applyFill="1" applyBorder="1" applyAlignment="1">
      <alignment vertical="center" wrapText="1"/>
    </xf>
    <xf numFmtId="0" fontId="14" fillId="7" borderId="2" xfId="3" applyFont="1" applyFill="1" applyBorder="1" applyAlignment="1">
      <alignment horizontal="left" vertical="center" wrapText="1" readingOrder="1"/>
    </xf>
    <xf numFmtId="164" fontId="17" fillId="7" borderId="2" xfId="4" applyNumberFormat="1" applyFont="1" applyFill="1" applyBorder="1" applyAlignment="1">
      <alignment vertical="center" wrapText="1"/>
    </xf>
    <xf numFmtId="0" fontId="20" fillId="2" borderId="2" xfId="3" applyFont="1" applyFill="1" applyBorder="1" applyAlignment="1">
      <alignment horizontal="left" vertical="center" wrapText="1" readingOrder="1"/>
    </xf>
    <xf numFmtId="0" fontId="20" fillId="2" borderId="2" xfId="3" applyFont="1" applyFill="1" applyBorder="1" applyAlignment="1">
      <alignment horizontal="center" vertical="center" wrapText="1" readingOrder="1"/>
    </xf>
    <xf numFmtId="0" fontId="21" fillId="0" borderId="0" xfId="3" applyFont="1"/>
    <xf numFmtId="164" fontId="6" fillId="0" borderId="2" xfId="3" applyNumberFormat="1" applyFont="1" applyBorder="1" applyAlignment="1">
      <alignment vertical="center" wrapText="1"/>
    </xf>
    <xf numFmtId="0" fontId="18" fillId="7" borderId="2" xfId="3" applyFont="1" applyFill="1" applyBorder="1" applyAlignment="1">
      <alignment horizontal="left" vertical="center" wrapText="1" readingOrder="1"/>
    </xf>
    <xf numFmtId="9" fontId="0" fillId="0" borderId="0" xfId="4" applyFont="1"/>
    <xf numFmtId="0" fontId="5" fillId="0" borderId="18" xfId="3" applyFont="1" applyBorder="1" applyAlignment="1">
      <alignment horizontal="left" vertical="center" wrapText="1" readingOrder="1"/>
    </xf>
    <xf numFmtId="0" fontId="18" fillId="0" borderId="18" xfId="3" applyFont="1" applyBorder="1" applyAlignment="1">
      <alignment horizontal="left" vertical="center" wrapText="1" readingOrder="1"/>
    </xf>
    <xf numFmtId="164" fontId="6" fillId="0" borderId="2" xfId="4" applyNumberFormat="1" applyFont="1" applyBorder="1" applyAlignment="1">
      <alignment vertical="center" wrapText="1"/>
    </xf>
    <xf numFmtId="164" fontId="6" fillId="5" borderId="2" xfId="4" applyNumberFormat="1" applyFont="1" applyFill="1" applyBorder="1" applyAlignment="1">
      <alignment vertical="center" wrapText="1"/>
    </xf>
    <xf numFmtId="164" fontId="6" fillId="4" borderId="2" xfId="4" applyNumberFormat="1" applyFont="1" applyFill="1" applyBorder="1" applyAlignment="1">
      <alignment vertical="center" wrapText="1"/>
    </xf>
    <xf numFmtId="0" fontId="2" fillId="12" borderId="0" xfId="3" applyFont="1" applyFill="1" applyAlignment="1">
      <alignment vertical="center" wrapText="1"/>
    </xf>
    <xf numFmtId="0" fontId="1" fillId="12" borderId="0" xfId="3" applyFill="1"/>
    <xf numFmtId="0" fontId="19" fillId="12" borderId="2" xfId="3" applyFont="1" applyFill="1" applyBorder="1" applyAlignment="1">
      <alignment horizontal="right" vertical="center" wrapText="1" readingOrder="1"/>
    </xf>
    <xf numFmtId="0" fontId="14" fillId="12" borderId="2" xfId="3" applyFont="1" applyFill="1" applyBorder="1" applyAlignment="1">
      <alignment horizontal="left" vertical="center" wrapText="1" readingOrder="1"/>
    </xf>
    <xf numFmtId="164" fontId="17" fillId="12" borderId="2" xfId="4" applyNumberFormat="1" applyFont="1" applyFill="1" applyBorder="1" applyAlignment="1">
      <alignment vertical="center" wrapText="1"/>
    </xf>
    <xf numFmtId="9" fontId="17" fillId="12" borderId="2" xfId="4" applyFont="1" applyFill="1" applyBorder="1" applyAlignment="1">
      <alignment vertical="center" wrapText="1"/>
    </xf>
    <xf numFmtId="0" fontId="2" fillId="12" borderId="2" xfId="3" applyFont="1" applyFill="1" applyBorder="1" applyAlignment="1">
      <alignment horizontal="left" vertical="center" wrapText="1" readingOrder="1"/>
    </xf>
    <xf numFmtId="0" fontId="2" fillId="12" borderId="2" xfId="3" applyFont="1" applyFill="1" applyBorder="1" applyAlignment="1">
      <alignment horizontal="center" vertical="center" wrapText="1" readingOrder="1"/>
    </xf>
    <xf numFmtId="0" fontId="14" fillId="12" borderId="2" xfId="3" applyFont="1" applyFill="1" applyBorder="1" applyAlignment="1">
      <alignment horizontal="center" vertical="center" wrapText="1" readingOrder="1"/>
    </xf>
    <xf numFmtId="0" fontId="0" fillId="0" borderId="0" xfId="3" quotePrefix="1" applyFont="1"/>
    <xf numFmtId="165" fontId="1" fillId="0" borderId="0" xfId="2" applyNumberFormat="1"/>
    <xf numFmtId="172" fontId="1" fillId="0" borderId="0" xfId="1" applyNumberFormat="1"/>
    <xf numFmtId="172" fontId="1" fillId="0" borderId="0" xfId="3" applyNumberFormat="1"/>
    <xf numFmtId="172" fontId="1" fillId="0" borderId="20" xfId="3" applyNumberFormat="1" applyBorder="1"/>
    <xf numFmtId="43" fontId="1" fillId="0" borderId="0" xfId="3" applyNumberFormat="1"/>
    <xf numFmtId="168" fontId="1" fillId="0" borderId="20" xfId="3" applyNumberFormat="1" applyBorder="1"/>
    <xf numFmtId="0" fontId="1" fillId="0" borderId="0" xfId="3" quotePrefix="1"/>
    <xf numFmtId="165" fontId="6" fillId="6" borderId="2" xfId="4" applyNumberFormat="1" applyFont="1" applyFill="1" applyBorder="1" applyAlignment="1">
      <alignment vertical="center" wrapText="1"/>
    </xf>
    <xf numFmtId="9" fontId="6" fillId="6" borderId="2" xfId="2" applyFont="1" applyFill="1" applyBorder="1"/>
    <xf numFmtId="9" fontId="6" fillId="6" borderId="2" xfId="4" applyFont="1" applyFill="1" applyBorder="1" applyAlignment="1">
      <alignment vertical="center" wrapText="1"/>
    </xf>
    <xf numFmtId="0" fontId="0" fillId="0" borderId="0" xfId="3" applyFont="1"/>
    <xf numFmtId="167" fontId="6" fillId="14" borderId="2" xfId="4" applyNumberFormat="1" applyFont="1" applyFill="1" applyBorder="1" applyAlignment="1">
      <alignment vertical="center" wrapText="1"/>
    </xf>
    <xf numFmtId="167" fontId="6" fillId="14" borderId="2" xfId="3" applyNumberFormat="1" applyFont="1" applyFill="1" applyBorder="1" applyAlignment="1">
      <alignment vertical="center" wrapText="1"/>
    </xf>
    <xf numFmtId="9" fontId="6" fillId="14" borderId="2" xfId="4" applyFont="1" applyFill="1" applyBorder="1" applyAlignment="1">
      <alignment vertical="center" wrapText="1"/>
    </xf>
    <xf numFmtId="9" fontId="6" fillId="14" borderId="2" xfId="2" applyFont="1" applyFill="1" applyBorder="1"/>
    <xf numFmtId="173" fontId="1" fillId="0" borderId="0" xfId="3" applyNumberFormat="1"/>
    <xf numFmtId="0" fontId="23" fillId="3" borderId="2" xfId="3" applyFont="1" applyFill="1" applyBorder="1" applyAlignment="1">
      <alignment horizontal="left" vertical="center" wrapText="1" readingOrder="1"/>
    </xf>
    <xf numFmtId="0" fontId="24" fillId="0" borderId="0" xfId="3" applyFont="1"/>
    <xf numFmtId="171" fontId="6" fillId="7" borderId="2" xfId="2" applyNumberFormat="1" applyFont="1" applyFill="1" applyBorder="1"/>
    <xf numFmtId="171" fontId="6" fillId="0" borderId="2" xfId="2" applyNumberFormat="1" applyFont="1" applyBorder="1"/>
    <xf numFmtId="174" fontId="6" fillId="0" borderId="2" xfId="1" applyNumberFormat="1" applyFont="1" applyBorder="1" applyAlignment="1">
      <alignment vertical="center" wrapText="1"/>
    </xf>
    <xf numFmtId="174" fontId="6" fillId="0" borderId="2" xfId="1" applyNumberFormat="1" applyFont="1" applyFill="1" applyBorder="1" applyAlignment="1">
      <alignment vertical="center" wrapText="1"/>
    </xf>
    <xf numFmtId="174" fontId="6" fillId="0" borderId="2" xfId="1" applyNumberFormat="1" applyFont="1" applyFill="1" applyBorder="1"/>
    <xf numFmtId="175" fontId="6" fillId="7" borderId="2" xfId="6" applyNumberFormat="1" applyFont="1" applyFill="1" applyBorder="1"/>
    <xf numFmtId="164" fontId="6" fillId="6" borderId="2" xfId="4" applyNumberFormat="1" applyFont="1" applyFill="1" applyBorder="1" applyAlignment="1">
      <alignment vertical="center" wrapText="1"/>
    </xf>
    <xf numFmtId="0" fontId="1" fillId="9" borderId="10" xfId="3" applyFill="1" applyBorder="1" applyAlignment="1">
      <alignment horizontal="left" vertical="top" wrapText="1"/>
    </xf>
    <xf numFmtId="0" fontId="1" fillId="9" borderId="11" xfId="3" applyFill="1" applyBorder="1" applyAlignment="1">
      <alignment horizontal="left" vertical="top" wrapText="1"/>
    </xf>
    <xf numFmtId="0" fontId="14" fillId="3" borderId="10" xfId="3" applyFont="1" applyFill="1" applyBorder="1" applyAlignment="1">
      <alignment horizontal="left" vertical="top" wrapText="1" readingOrder="1"/>
    </xf>
    <xf numFmtId="0" fontId="14" fillId="3" borderId="11" xfId="3" applyFont="1" applyFill="1" applyBorder="1" applyAlignment="1">
      <alignment horizontal="left" vertical="top" wrapText="1" readingOrder="1"/>
    </xf>
    <xf numFmtId="0" fontId="4" fillId="2" borderId="1" xfId="3" applyFont="1" applyFill="1" applyBorder="1" applyAlignment="1">
      <alignment horizontal="left" vertical="center" wrapText="1" readingOrder="1"/>
    </xf>
    <xf numFmtId="0" fontId="4" fillId="2" borderId="0" xfId="3" applyFont="1" applyFill="1" applyAlignment="1">
      <alignment horizontal="left" vertical="center" wrapText="1" readingOrder="1"/>
    </xf>
    <xf numFmtId="0" fontId="2" fillId="12" borderId="0" xfId="3" applyFont="1" applyFill="1" applyAlignment="1">
      <alignment horizontal="center" vertical="center" wrapText="1"/>
    </xf>
  </cellXfs>
  <cellStyles count="8">
    <cellStyle name="Comma" xfId="1" builtinId="3" customBuiltin="1"/>
    <cellStyle name="Comma 2" xfId="6" xr:uid="{055ED63C-E04B-4DAD-9760-E825555B36B3}"/>
    <cellStyle name="Input" xfId="5" builtinId="20" customBuiltin="1"/>
    <cellStyle name="Normal" xfId="0" builtinId="0"/>
    <cellStyle name="Normal 3" xfId="3" xr:uid="{04BCDA12-D5A4-4C8E-A60F-99E64730E544}"/>
    <cellStyle name="Per cent 2" xfId="7" xr:uid="{E4907453-AF15-49E7-80DD-260BAD309049}"/>
    <cellStyle name="Per cent 3" xfId="4" xr:uid="{D39341F5-5E89-4FAF-A174-3A689FFC6C61}"/>
    <cellStyle name="Percent" xfId="2" builtinId="5" customBuiltin="1"/>
  </cellStyles>
  <dxfs count="0"/>
  <tableStyles count="1" defaultTableStyle="TableStyleMedium2" defaultPivotStyle="PivotStyleLight16">
    <tableStyle name="Invisible" pivot="0" table="0" count="0" xr9:uid="{6FB271ED-6F2F-48E7-BB4D-2C48F29D4A19}"/>
  </tableStyles>
  <colors>
    <mruColors>
      <color rgb="FFC8A5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net debt to operating revenue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1"/>
          <c:order val="1"/>
          <c:tx>
            <c:strRef>
              <c:f>'1. Charts'!$A$12</c:f>
              <c:strCache>
                <c:ptCount val="1"/>
                <c:pt idx="0">
                  <c:v>Net debt ($m)</c:v>
                </c:pt>
              </c:strCache>
            </c:strRef>
          </c:tx>
          <c:spPr>
            <a:solidFill>
              <a:srgbClr val="C8A5E3"/>
            </a:solidFill>
            <a:ln>
              <a:noFill/>
            </a:ln>
            <a:effectLst/>
          </c:spPr>
          <c:invertIfNegative val="0"/>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Charts'!$B$12:$K$12</c:f>
              <c:numCache>
                <c:formatCode>#,##0.0_ ;[Red]\(#,##0.0\)</c:formatCode>
                <c:ptCount val="10"/>
                <c:pt idx="0">
                  <c:v>154.77193249999999</c:v>
                </c:pt>
                <c:pt idx="1">
                  <c:v>189.94642551999999</c:v>
                </c:pt>
                <c:pt idx="2">
                  <c:v>225.14417202999996</c:v>
                </c:pt>
                <c:pt idx="3">
                  <c:v>273.79624171683548</c:v>
                </c:pt>
                <c:pt idx="4">
                  <c:v>305.11512397263994</c:v>
                </c:pt>
                <c:pt idx="5">
                  <c:v>319.45869474177476</c:v>
                </c:pt>
                <c:pt idx="6">
                  <c:v>332.25939914036917</c:v>
                </c:pt>
                <c:pt idx="7">
                  <c:v>337.72314327524663</c:v>
                </c:pt>
                <c:pt idx="8">
                  <c:v>340.00845219157623</c:v>
                </c:pt>
                <c:pt idx="9">
                  <c:v>340.1065480803511</c:v>
                </c:pt>
              </c:numCache>
            </c:numRef>
          </c:val>
          <c:extLst>
            <c:ext xmlns:c16="http://schemas.microsoft.com/office/drawing/2014/chart" uri="{C3380CC4-5D6E-409C-BE32-E72D297353CC}">
              <c16:uniqueId val="{00000000-E071-4673-991C-463212984F4F}"/>
            </c:ext>
          </c:extLst>
        </c:ser>
        <c:ser>
          <c:idx val="2"/>
          <c:order val="2"/>
          <c:tx>
            <c:strRef>
              <c:f>'1. Charts'!$A$13</c:f>
              <c:strCache>
                <c:ptCount val="1"/>
                <c:pt idx="0">
                  <c:v>Debt headroom to limit ($m)</c:v>
                </c:pt>
              </c:strCache>
            </c:strRef>
          </c:tx>
          <c:spPr>
            <a:solidFill>
              <a:schemeClr val="bg1">
                <a:lumMod val="85000"/>
              </a:schemeClr>
            </a:solidFill>
            <a:ln>
              <a:noFill/>
            </a:ln>
            <a:effectLst/>
          </c:spPr>
          <c:invertIfNegative val="0"/>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Charts'!$B$13:$K$13</c:f>
              <c:numCache>
                <c:formatCode>#,##0.0_ ;[Red]\(#,##0.0\)</c:formatCode>
                <c:ptCount val="10"/>
                <c:pt idx="0">
                  <c:v>84.868851249999977</c:v>
                </c:pt>
                <c:pt idx="1">
                  <c:v>71.991830080000057</c:v>
                </c:pt>
                <c:pt idx="2">
                  <c:v>56.619873420000062</c:v>
                </c:pt>
                <c:pt idx="3">
                  <c:v>42.269502932433909</c:v>
                </c:pt>
                <c:pt idx="4">
                  <c:v>41.642982346708095</c:v>
                </c:pt>
                <c:pt idx="5">
                  <c:v>62.41945635056419</c:v>
                </c:pt>
                <c:pt idx="6">
                  <c:v>72.254707470970231</c:v>
                </c:pt>
                <c:pt idx="7">
                  <c:v>87.475493343500773</c:v>
                </c:pt>
                <c:pt idx="8">
                  <c:v>85.948558327346632</c:v>
                </c:pt>
                <c:pt idx="9">
                  <c:v>92.132555081549697</c:v>
                </c:pt>
              </c:numCache>
            </c:numRef>
          </c:val>
          <c:extLst>
            <c:ext xmlns:c16="http://schemas.microsoft.com/office/drawing/2014/chart" uri="{C3380CC4-5D6E-409C-BE32-E72D297353CC}">
              <c16:uniqueId val="{00000001-E071-4673-991C-463212984F4F}"/>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0"/>
          <c:order val="0"/>
          <c:tx>
            <c:strRef>
              <c:f>'1. Charts'!$A$11</c:f>
              <c:strCache>
                <c:ptCount val="1"/>
                <c:pt idx="0">
                  <c:v>Total operating revenue ($m)</c:v>
                </c:pt>
              </c:strCache>
            </c:strRef>
          </c:tx>
          <c:spPr>
            <a:ln w="28575" cap="rnd">
              <a:solidFill>
                <a:srgbClr val="7030A0"/>
              </a:solidFill>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Charts'!$B$11:$K$11</c:f>
              <c:numCache>
                <c:formatCode>#,##0.0_ ;[Red]\(#,##0.0\)</c:formatCode>
                <c:ptCount val="10"/>
                <c:pt idx="0">
                  <c:v>47.928156749999992</c:v>
                </c:pt>
                <c:pt idx="1">
                  <c:v>52.387651120000008</c:v>
                </c:pt>
                <c:pt idx="2">
                  <c:v>56.352809090000008</c:v>
                </c:pt>
                <c:pt idx="3">
                  <c:v>63.213148929853872</c:v>
                </c:pt>
                <c:pt idx="4">
                  <c:v>69.351621263869603</c:v>
                </c:pt>
                <c:pt idx="5">
                  <c:v>76.375630218467791</c:v>
                </c:pt>
                <c:pt idx="6">
                  <c:v>80.902821322267883</c:v>
                </c:pt>
                <c:pt idx="7">
                  <c:v>85.039727323749474</c:v>
                </c:pt>
                <c:pt idx="8">
                  <c:v>85.191402103784569</c:v>
                </c:pt>
                <c:pt idx="9">
                  <c:v>86.447820632380157</c:v>
                </c:pt>
              </c:numCache>
            </c:numRef>
          </c:val>
          <c:smooth val="0"/>
          <c:extLst>
            <c:ext xmlns:c16="http://schemas.microsoft.com/office/drawing/2014/chart" uri="{C3380CC4-5D6E-409C-BE32-E72D297353CC}">
              <c16:uniqueId val="{00000002-E071-4673-991C-463212984F4F}"/>
            </c:ext>
          </c:extLst>
        </c:ser>
        <c:dLbls>
          <c:showLegendKey val="0"/>
          <c:showVal val="0"/>
          <c:showCatName val="0"/>
          <c:showSerName val="0"/>
          <c:showPercent val="0"/>
          <c:showBubbleSize val="0"/>
        </c:dLbls>
        <c:marker val="1"/>
        <c:smooth val="0"/>
        <c:axId val="494290511"/>
        <c:axId val="494299631"/>
      </c:lineChart>
      <c:lineChart>
        <c:grouping val="standard"/>
        <c:varyColors val="0"/>
        <c:ser>
          <c:idx val="3"/>
          <c:order val="3"/>
          <c:tx>
            <c:strRef>
              <c:f>'1. Charts'!$A$14</c:f>
              <c:strCache>
                <c:ptCount val="1"/>
                <c:pt idx="0">
                  <c:v>Net debt to operating revenue (%)</c:v>
                </c:pt>
              </c:strCache>
            </c:strRef>
          </c:tx>
          <c:spPr>
            <a:ln w="28575" cap="rnd">
              <a:solidFill>
                <a:schemeClr val="accent6">
                  <a:lumMod val="75000"/>
                </a:schemeClr>
              </a:solidFill>
              <a:prstDash val="dash"/>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Charts'!$B$14:$K$14</c:f>
              <c:numCache>
                <c:formatCode>0%</c:formatCode>
                <c:ptCount val="10"/>
                <c:pt idx="0">
                  <c:v>3.2292485877834225</c:v>
                </c:pt>
                <c:pt idx="1">
                  <c:v>3.6257862580039255</c:v>
                </c:pt>
                <c:pt idx="2">
                  <c:v>3.9952608515118819</c:v>
                </c:pt>
                <c:pt idx="3">
                  <c:v>4.3313178721829004</c:v>
                </c:pt>
                <c:pt idx="4">
                  <c:v>4.399538444987976</c:v>
                </c:pt>
                <c:pt idx="5">
                  <c:v>4.1827307195761634</c:v>
                </c:pt>
                <c:pt idx="6">
                  <c:v>4.1068950836318647</c:v>
                </c:pt>
                <c:pt idx="7">
                  <c:v>3.9713573162049518</c:v>
                </c:pt>
                <c:pt idx="8">
                  <c:v>3.9911122929677854</c:v>
                </c:pt>
                <c:pt idx="9">
                  <c:v>3.9342408587332249</c:v>
                </c:pt>
              </c:numCache>
            </c:numRef>
          </c:val>
          <c:smooth val="0"/>
          <c:extLst>
            <c:ext xmlns:c16="http://schemas.microsoft.com/office/drawing/2014/chart" uri="{C3380CC4-5D6E-409C-BE32-E72D297353CC}">
              <c16:uniqueId val="{00000003-E071-4673-991C-463212984F4F}"/>
            </c:ext>
          </c:extLst>
        </c:ser>
        <c:ser>
          <c:idx val="4"/>
          <c:order val="4"/>
          <c:tx>
            <c:strRef>
              <c:f>'1. Charts'!$A$15</c:f>
              <c:strCache>
                <c:ptCount val="1"/>
                <c:pt idx="0">
                  <c:v>Water borrowing limit (%)</c:v>
                </c:pt>
              </c:strCache>
            </c:strRef>
          </c:tx>
          <c:spPr>
            <a:ln w="28575" cap="rnd">
              <a:solidFill>
                <a:srgbClr val="00ABC5"/>
              </a:solidFill>
              <a:prstDash val="dash"/>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Charts'!$B$15:$K$15</c:f>
              <c:numCache>
                <c:formatCode>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4-E071-4673-991C-463212984F4F}"/>
            </c:ext>
          </c:extLst>
        </c:ser>
        <c:ser>
          <c:idx val="5"/>
          <c:order val="5"/>
          <c:tx>
            <c:strRef>
              <c:f>'1. Charts'!$A$16</c:f>
              <c:strCache>
                <c:ptCount val="1"/>
              </c:strCache>
            </c:strRef>
          </c:tx>
          <c:spPr>
            <a:ln w="28575" cap="rnd">
              <a:solidFill>
                <a:srgbClr val="C00000"/>
              </a:solidFill>
              <a:prstDash val="dash"/>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Charts'!$B$16:$K$16</c:f>
              <c:numCache>
                <c:formatCode>0%</c:formatCode>
                <c:ptCount val="10"/>
              </c:numCache>
            </c:numRef>
          </c:val>
          <c:smooth val="0"/>
          <c:extLst>
            <c:ext xmlns:c16="http://schemas.microsoft.com/office/drawing/2014/chart" uri="{C3380CC4-5D6E-409C-BE32-E72D297353CC}">
              <c16:uniqueId val="{00000005-E071-4673-991C-463212984F4F}"/>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Net debt to operating revenue</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majorUnit val="1"/>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investment requirements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Charts'!$A$19</c:f>
              <c:strCache>
                <c:ptCount val="1"/>
                <c:pt idx="0">
                  <c:v>To replace existing assets ($m)</c:v>
                </c:pt>
              </c:strCache>
            </c:strRef>
          </c:tx>
          <c:spPr>
            <a:solidFill>
              <a:srgbClr val="F1E8F8"/>
            </a:solidFill>
            <a:ln>
              <a:noFill/>
            </a:ln>
            <a:effectLst/>
          </c:spPr>
          <c:invertIfNegative val="0"/>
          <c:cat>
            <c:strRef>
              <c:f>'1. Charts'!$B$18:$K$18</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Charts'!$B$19:$K$19</c:f>
              <c:numCache>
                <c:formatCode>#,##0.0_ ;[Red]\(#,##0.0\)</c:formatCode>
                <c:ptCount val="10"/>
                <c:pt idx="0">
                  <c:v>29.03345539</c:v>
                </c:pt>
                <c:pt idx="1">
                  <c:v>30.721534209999998</c:v>
                </c:pt>
                <c:pt idx="2">
                  <c:v>27.123644809999998</c:v>
                </c:pt>
                <c:pt idx="3">
                  <c:v>30.566774940000002</c:v>
                </c:pt>
                <c:pt idx="4">
                  <c:v>21.734189009999998</c:v>
                </c:pt>
                <c:pt idx="5">
                  <c:v>25.57470967374595</c:v>
                </c:pt>
                <c:pt idx="6">
                  <c:v>30.24677150118757</c:v>
                </c:pt>
                <c:pt idx="7">
                  <c:v>24.077780577564745</c:v>
                </c:pt>
                <c:pt idx="8">
                  <c:v>28.610227769793529</c:v>
                </c:pt>
                <c:pt idx="9">
                  <c:v>24.662112988436025</c:v>
                </c:pt>
              </c:numCache>
            </c:numRef>
          </c:val>
          <c:extLst>
            <c:ext xmlns:c16="http://schemas.microsoft.com/office/drawing/2014/chart" uri="{C3380CC4-5D6E-409C-BE32-E72D297353CC}">
              <c16:uniqueId val="{00000000-B7E9-43B0-A039-0092CEA67DE2}"/>
            </c:ext>
          </c:extLst>
        </c:ser>
        <c:ser>
          <c:idx val="1"/>
          <c:order val="1"/>
          <c:tx>
            <c:strRef>
              <c:f>'1. Charts'!$A$20</c:f>
              <c:strCache>
                <c:ptCount val="1"/>
                <c:pt idx="0">
                  <c:v>To improve levels of service ($m)</c:v>
                </c:pt>
              </c:strCache>
            </c:strRef>
          </c:tx>
          <c:spPr>
            <a:solidFill>
              <a:srgbClr val="C8A5E3"/>
            </a:solidFill>
            <a:ln>
              <a:noFill/>
            </a:ln>
            <a:effectLst/>
          </c:spPr>
          <c:invertIfNegative val="0"/>
          <c:cat>
            <c:strRef>
              <c:f>'1. Charts'!$B$18:$K$18</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Charts'!$B$20:$K$20</c:f>
              <c:numCache>
                <c:formatCode>#,##0.0_ ;[Red]\(#,##0.0\)</c:formatCode>
                <c:ptCount val="10"/>
                <c:pt idx="0">
                  <c:v>11.421327999999999</c:v>
                </c:pt>
                <c:pt idx="1">
                  <c:v>15.8797216</c:v>
                </c:pt>
                <c:pt idx="2">
                  <c:v>25.977467349999998</c:v>
                </c:pt>
                <c:pt idx="3">
                  <c:v>25.395171059500001</c:v>
                </c:pt>
                <c:pt idx="4">
                  <c:v>26.830686858499998</c:v>
                </c:pt>
                <c:pt idx="5">
                  <c:v>12.016239178871061</c:v>
                </c:pt>
                <c:pt idx="6">
                  <c:v>13.071421910257296</c:v>
                </c:pt>
                <c:pt idx="7">
                  <c:v>13.586723639764742</c:v>
                </c:pt>
                <c:pt idx="8">
                  <c:v>7.7536204922582854</c:v>
                </c:pt>
                <c:pt idx="9">
                  <c:v>9.519060181635691</c:v>
                </c:pt>
              </c:numCache>
            </c:numRef>
          </c:val>
          <c:extLst>
            <c:ext xmlns:c16="http://schemas.microsoft.com/office/drawing/2014/chart" uri="{C3380CC4-5D6E-409C-BE32-E72D297353CC}">
              <c16:uniqueId val="{00000001-B7E9-43B0-A039-0092CEA67DE2}"/>
            </c:ext>
          </c:extLst>
        </c:ser>
        <c:ser>
          <c:idx val="2"/>
          <c:order val="2"/>
          <c:tx>
            <c:strRef>
              <c:f>'1. Charts'!$A$21</c:f>
              <c:strCache>
                <c:ptCount val="1"/>
                <c:pt idx="0">
                  <c:v>To meet additional demand ($m)</c:v>
                </c:pt>
              </c:strCache>
            </c:strRef>
          </c:tx>
          <c:spPr>
            <a:solidFill>
              <a:srgbClr val="7030A0"/>
            </a:solidFill>
            <a:ln>
              <a:noFill/>
            </a:ln>
            <a:effectLst/>
          </c:spPr>
          <c:invertIfNegative val="0"/>
          <c:cat>
            <c:strRef>
              <c:f>'1. Charts'!$B$18:$K$18</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Charts'!$B$21:$K$21</c:f>
              <c:numCache>
                <c:formatCode>#,##0.0_ ;[Red]\(#,##0.0\)</c:formatCode>
                <c:ptCount val="10"/>
                <c:pt idx="0">
                  <c:v>1.0695910200000001</c:v>
                </c:pt>
                <c:pt idx="1">
                  <c:v>6.6220743100000004</c:v>
                </c:pt>
                <c:pt idx="2">
                  <c:v>4.3410161299999999</c:v>
                </c:pt>
                <c:pt idx="3">
                  <c:v>7.80155025</c:v>
                </c:pt>
                <c:pt idx="4">
                  <c:v>4.4853658100000002</c:v>
                </c:pt>
                <c:pt idx="5">
                  <c:v>4.4875400993696557</c:v>
                </c:pt>
                <c:pt idx="6">
                  <c:v>1.2547016143431515</c:v>
                </c:pt>
                <c:pt idx="7">
                  <c:v>1.9925059395801461</c:v>
                </c:pt>
                <c:pt idx="8">
                  <c:v>0.34425895320666206</c:v>
                </c:pt>
                <c:pt idx="9">
                  <c:v>0.35053501791977842</c:v>
                </c:pt>
              </c:numCache>
            </c:numRef>
          </c:val>
          <c:extLst>
            <c:ext xmlns:c16="http://schemas.microsoft.com/office/drawing/2014/chart" uri="{C3380CC4-5D6E-409C-BE32-E72D297353CC}">
              <c16:uniqueId val="{00000002-B7E9-43B0-A039-0092CEA67DE2}"/>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Charts'!$A$22</c:f>
              <c:strCache>
                <c:ptCount val="1"/>
                <c:pt idx="0">
                  <c:v>Depreciation ($m)</c:v>
                </c:pt>
              </c:strCache>
            </c:strRef>
          </c:tx>
          <c:spPr>
            <a:ln w="28575" cap="rnd">
              <a:solidFill>
                <a:schemeClr val="accent6">
                  <a:lumMod val="75000"/>
                </a:schemeClr>
              </a:solidFill>
              <a:prstDash val="dash"/>
              <a:round/>
            </a:ln>
            <a:effectLst/>
          </c:spPr>
          <c:marker>
            <c:symbol val="none"/>
          </c:marker>
          <c:cat>
            <c:strRef>
              <c:f>'1. Charts'!$B$18:$K$18</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Charts'!$B$22:$K$22</c:f>
              <c:numCache>
                <c:formatCode>#,##0.0_ ;[Red]\(#,##0.0\)</c:formatCode>
                <c:ptCount val="10"/>
                <c:pt idx="0">
                  <c:v>16.562728029999999</c:v>
                </c:pt>
                <c:pt idx="1">
                  <c:v>17.16591257</c:v>
                </c:pt>
                <c:pt idx="2">
                  <c:v>19.2978326</c:v>
                </c:pt>
                <c:pt idx="3">
                  <c:v>20.117763959999998</c:v>
                </c:pt>
                <c:pt idx="4">
                  <c:v>21.732089460000001</c:v>
                </c:pt>
                <c:pt idx="5">
                  <c:v>23.447690239999996</c:v>
                </c:pt>
                <c:pt idx="6">
                  <c:v>24.752541606783605</c:v>
                </c:pt>
                <c:pt idx="7">
                  <c:v>25.79823893388885</c:v>
                </c:pt>
                <c:pt idx="8">
                  <c:v>27.27618243668492</c:v>
                </c:pt>
                <c:pt idx="9">
                  <c:v>27.729016932181665</c:v>
                </c:pt>
              </c:numCache>
            </c:numRef>
          </c:val>
          <c:smooth val="0"/>
          <c:extLst>
            <c:ext xmlns:c16="http://schemas.microsoft.com/office/drawing/2014/chart" uri="{C3380CC4-5D6E-409C-BE32-E72D297353CC}">
              <c16:uniqueId val="{00000003-B7E9-43B0-A039-0092CEA67DE2}"/>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1.2374597663422433E-2"/>
          <c:y val="0.84578686234291911"/>
          <c:w val="0.95866543966888473"/>
          <c:h val="0.1265258441990214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revenue and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81884317585301836"/>
          <c:h val="0.60512505609220379"/>
        </c:manualLayout>
      </c:layout>
      <c:barChart>
        <c:barDir val="col"/>
        <c:grouping val="stacked"/>
        <c:varyColors val="0"/>
        <c:ser>
          <c:idx val="0"/>
          <c:order val="0"/>
          <c:tx>
            <c:strRef>
              <c:f>'1. Charts'!$A$36</c:f>
              <c:strCache>
                <c:ptCount val="1"/>
                <c:pt idx="0">
                  <c:v>Expenses (excl. depn, interest) ($m)</c:v>
                </c:pt>
              </c:strCache>
            </c:strRef>
          </c:tx>
          <c:spPr>
            <a:solidFill>
              <a:srgbClr val="F1E8F8"/>
            </a:solidFill>
            <a:ln>
              <a:noFill/>
            </a:ln>
            <a:effectLst/>
          </c:spPr>
          <c:invertIfNegative val="0"/>
          <c:cat>
            <c:strRef>
              <c:f>'1. Charts'!$B$35:$K$35</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Charts'!$B$36:$K$36</c:f>
              <c:numCache>
                <c:formatCode>#,##0.0_ ;[Red]\(#,##0.0\)</c:formatCode>
                <c:ptCount val="10"/>
                <c:pt idx="0">
                  <c:v>28.798122839999994</c:v>
                </c:pt>
                <c:pt idx="1">
                  <c:v>29.377789569999994</c:v>
                </c:pt>
                <c:pt idx="2">
                  <c:v>27.584191579999995</c:v>
                </c:pt>
                <c:pt idx="3">
                  <c:v>29.163181059999992</c:v>
                </c:pt>
                <c:pt idx="4">
                  <c:v>31.307316137499992</c:v>
                </c:pt>
                <c:pt idx="5">
                  <c:v>30.959091965390332</c:v>
                </c:pt>
                <c:pt idx="6">
                  <c:v>30.621230449380672</c:v>
                </c:pt>
                <c:pt idx="7">
                  <c:v>31.769249951068371</c:v>
                </c:pt>
                <c:pt idx="8">
                  <c:v>31.444284863977416</c:v>
                </c:pt>
                <c:pt idx="9">
                  <c:v>32.604685095340344</c:v>
                </c:pt>
              </c:numCache>
            </c:numRef>
          </c:val>
          <c:extLst>
            <c:ext xmlns:c16="http://schemas.microsoft.com/office/drawing/2014/chart" uri="{C3380CC4-5D6E-409C-BE32-E72D297353CC}">
              <c16:uniqueId val="{00000000-6C01-41A7-956A-7A4434ED36EC}"/>
            </c:ext>
          </c:extLst>
        </c:ser>
        <c:ser>
          <c:idx val="1"/>
          <c:order val="1"/>
          <c:tx>
            <c:strRef>
              <c:f>'1. Charts'!$A$37</c:f>
              <c:strCache>
                <c:ptCount val="1"/>
                <c:pt idx="0">
                  <c:v>Interest costs ($m)</c:v>
                </c:pt>
              </c:strCache>
            </c:strRef>
          </c:tx>
          <c:spPr>
            <a:solidFill>
              <a:srgbClr val="C8A5E3"/>
            </a:solidFill>
            <a:ln>
              <a:noFill/>
            </a:ln>
            <a:effectLst/>
          </c:spPr>
          <c:invertIfNegative val="0"/>
          <c:cat>
            <c:strRef>
              <c:f>'1. Charts'!$B$35:$K$35</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Charts'!$B$37:$K$37</c:f>
              <c:numCache>
                <c:formatCode>#,##0.0_ ;[Red]\(#,##0.0\)</c:formatCode>
                <c:ptCount val="10"/>
                <c:pt idx="0">
                  <c:v>5.2790720000000002</c:v>
                </c:pt>
                <c:pt idx="1">
                  <c:v>5.7859334499999999</c:v>
                </c:pt>
                <c:pt idx="2">
                  <c:v>7.3541447299999998</c:v>
                </c:pt>
                <c:pt idx="3">
                  <c:v>14.772450307189384</c:v>
                </c:pt>
                <c:pt idx="4">
                  <c:v>17.149854703674041</c:v>
                </c:pt>
                <c:pt idx="5">
                  <c:v>18.519529070225673</c:v>
                </c:pt>
                <c:pt idx="6">
                  <c:v>19.349309245693512</c:v>
                </c:pt>
                <c:pt idx="7">
                  <c:v>19.919120350649003</c:v>
                </c:pt>
                <c:pt idx="8">
                  <c:v>20.168227940878339</c:v>
                </c:pt>
                <c:pt idx="9">
                  <c:v>20.255432237823129</c:v>
                </c:pt>
              </c:numCache>
            </c:numRef>
          </c:val>
          <c:extLst>
            <c:ext xmlns:c16="http://schemas.microsoft.com/office/drawing/2014/chart" uri="{C3380CC4-5D6E-409C-BE32-E72D297353CC}">
              <c16:uniqueId val="{00000001-6C01-41A7-956A-7A4434ED36EC}"/>
            </c:ext>
          </c:extLst>
        </c:ser>
        <c:ser>
          <c:idx val="2"/>
          <c:order val="2"/>
          <c:tx>
            <c:strRef>
              <c:f>'1. Charts'!$A$38</c:f>
              <c:strCache>
                <c:ptCount val="1"/>
                <c:pt idx="0">
                  <c:v>Depreciation ($m)</c:v>
                </c:pt>
              </c:strCache>
            </c:strRef>
          </c:tx>
          <c:spPr>
            <a:solidFill>
              <a:srgbClr val="7030A0"/>
            </a:solidFill>
            <a:ln>
              <a:noFill/>
            </a:ln>
            <a:effectLst/>
          </c:spPr>
          <c:invertIfNegative val="0"/>
          <c:cat>
            <c:strRef>
              <c:f>'1. Charts'!$B$35:$K$35</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Charts'!$B$38:$K$38</c:f>
              <c:numCache>
                <c:formatCode>#,##0.0_ ;[Red]\(#,##0.0\)</c:formatCode>
                <c:ptCount val="10"/>
                <c:pt idx="0">
                  <c:v>16.562728029999999</c:v>
                </c:pt>
                <c:pt idx="1">
                  <c:v>17.16591257</c:v>
                </c:pt>
                <c:pt idx="2">
                  <c:v>19.2978326</c:v>
                </c:pt>
                <c:pt idx="3">
                  <c:v>20.117763959999998</c:v>
                </c:pt>
                <c:pt idx="4">
                  <c:v>21.732089460000001</c:v>
                </c:pt>
                <c:pt idx="5">
                  <c:v>23.447690239999996</c:v>
                </c:pt>
                <c:pt idx="6">
                  <c:v>24.752541606783605</c:v>
                </c:pt>
                <c:pt idx="7">
                  <c:v>25.79823893388885</c:v>
                </c:pt>
                <c:pt idx="8">
                  <c:v>27.27618243668492</c:v>
                </c:pt>
                <c:pt idx="9">
                  <c:v>27.729016932181665</c:v>
                </c:pt>
              </c:numCache>
            </c:numRef>
          </c:val>
          <c:extLst>
            <c:ext xmlns:c16="http://schemas.microsoft.com/office/drawing/2014/chart" uri="{C3380CC4-5D6E-409C-BE32-E72D297353CC}">
              <c16:uniqueId val="{00000002-6C01-41A7-956A-7A4434ED36EC}"/>
            </c:ext>
          </c:extLst>
        </c:ser>
        <c:dLbls>
          <c:showLegendKey val="0"/>
          <c:showVal val="0"/>
          <c:showCatName val="0"/>
          <c:showSerName val="0"/>
          <c:showPercent val="0"/>
          <c:showBubbleSize val="0"/>
        </c:dLbls>
        <c:gapWidth val="100"/>
        <c:overlap val="100"/>
        <c:axId val="494290511"/>
        <c:axId val="494299631"/>
      </c:barChart>
      <c:lineChart>
        <c:grouping val="standard"/>
        <c:varyColors val="0"/>
        <c:ser>
          <c:idx val="3"/>
          <c:order val="3"/>
          <c:tx>
            <c:strRef>
              <c:f>'1. Charts'!$A$39</c:f>
              <c:strCache>
                <c:ptCount val="1"/>
                <c:pt idx="0">
                  <c:v>Operating revenue ($m)</c:v>
                </c:pt>
              </c:strCache>
            </c:strRef>
          </c:tx>
          <c:spPr>
            <a:ln w="28575" cap="rnd">
              <a:solidFill>
                <a:schemeClr val="accent6">
                  <a:lumMod val="75000"/>
                </a:schemeClr>
              </a:solidFill>
              <a:round/>
            </a:ln>
            <a:effectLst/>
          </c:spPr>
          <c:marker>
            <c:symbol val="none"/>
          </c:marker>
          <c:cat>
            <c:strRef>
              <c:f>'1. Charts'!$B$35:$K$35</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Charts'!$B$39:$K$39</c:f>
              <c:numCache>
                <c:formatCode>#,##0.0_ ;[Red]\(#,##0.0\)</c:formatCode>
                <c:ptCount val="10"/>
                <c:pt idx="0">
                  <c:v>47.928156749999992</c:v>
                </c:pt>
                <c:pt idx="1">
                  <c:v>52.387651120000008</c:v>
                </c:pt>
                <c:pt idx="2">
                  <c:v>56.352809090000008</c:v>
                </c:pt>
                <c:pt idx="3">
                  <c:v>63.213148929853872</c:v>
                </c:pt>
                <c:pt idx="4">
                  <c:v>69.351621263869603</c:v>
                </c:pt>
                <c:pt idx="5">
                  <c:v>76.375630218467791</c:v>
                </c:pt>
                <c:pt idx="6">
                  <c:v>80.902821322267883</c:v>
                </c:pt>
                <c:pt idx="7">
                  <c:v>85.039727323749474</c:v>
                </c:pt>
                <c:pt idx="8">
                  <c:v>85.191402103784569</c:v>
                </c:pt>
                <c:pt idx="9">
                  <c:v>86.447820632380157</c:v>
                </c:pt>
              </c:numCache>
            </c:numRef>
          </c:val>
          <c:smooth val="0"/>
          <c:extLst>
            <c:ext xmlns:c16="http://schemas.microsoft.com/office/drawing/2014/chart" uri="{C3380CC4-5D6E-409C-BE32-E72D297353CC}">
              <c16:uniqueId val="{00000003-6C01-41A7-956A-7A4434ED36EC}"/>
            </c:ext>
          </c:extLst>
        </c:ser>
        <c:ser>
          <c:idx val="4"/>
          <c:order val="4"/>
          <c:tx>
            <c:strRef>
              <c:f>'1. Charts'!$A$40</c:f>
              <c:strCache>
                <c:ptCount val="1"/>
                <c:pt idx="0">
                  <c:v>Net operating surplus/(deficit) ($m)</c:v>
                </c:pt>
              </c:strCache>
            </c:strRef>
          </c:tx>
          <c:spPr>
            <a:ln w="28575" cap="rnd">
              <a:solidFill>
                <a:srgbClr val="C00000"/>
              </a:solidFill>
              <a:prstDash val="dash"/>
              <a:round/>
            </a:ln>
            <a:effectLst/>
          </c:spPr>
          <c:marker>
            <c:symbol val="none"/>
          </c:marker>
          <c:cat>
            <c:strRef>
              <c:f>'1. Charts'!$B$35:$K$35</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Charts'!$B$40:$K$40</c:f>
              <c:numCache>
                <c:formatCode>#,##0.0_ ;[Red]\(#,##0.0\)</c:formatCode>
                <c:ptCount val="10"/>
                <c:pt idx="0">
                  <c:v>-2.7117661200000001</c:v>
                </c:pt>
                <c:pt idx="1">
                  <c:v>5.8015530000012916E-2</c:v>
                </c:pt>
                <c:pt idx="2">
                  <c:v>2.1166401800000116</c:v>
                </c:pt>
                <c:pt idx="3">
                  <c:v>-0.84024639733550543</c:v>
                </c:pt>
                <c:pt idx="4">
                  <c:v>-0.83763903730442735</c:v>
                </c:pt>
                <c:pt idx="5">
                  <c:v>3.4493189428517894</c:v>
                </c:pt>
                <c:pt idx="6">
                  <c:v>6.1797400204100938</c:v>
                </c:pt>
                <c:pt idx="7">
                  <c:v>7.5531180881432505</c:v>
                </c:pt>
                <c:pt idx="8">
                  <c:v>6.3027068622438946</c:v>
                </c:pt>
                <c:pt idx="9">
                  <c:v>5.8586863670350198</c:v>
                </c:pt>
              </c:numCache>
            </c:numRef>
          </c:val>
          <c:smooth val="0"/>
          <c:extLst>
            <c:ext xmlns:c16="http://schemas.microsoft.com/office/drawing/2014/chart" uri="{C3380CC4-5D6E-409C-BE32-E72D297353CC}">
              <c16:uniqueId val="{00000004-6C01-41A7-956A-7A4434ED36EC}"/>
            </c:ext>
          </c:extLst>
        </c:ser>
        <c:dLbls>
          <c:showLegendKey val="0"/>
          <c:showVal val="0"/>
          <c:showCatName val="0"/>
          <c:showSerName val="0"/>
          <c:showPercent val="0"/>
          <c:showBubbleSize val="0"/>
        </c:dLbls>
        <c:marker val="1"/>
        <c:smooth val="0"/>
        <c:axId val="494290511"/>
        <c:axId val="49429963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spPr>
        <a:noFill/>
        <a:ln>
          <a:noFill/>
        </a:ln>
        <a:effectLst/>
      </c:spPr>
    </c:plotArea>
    <c:legend>
      <c:legendPos val="b"/>
      <c:layout>
        <c:manualLayout>
          <c:xMode val="edge"/>
          <c:yMode val="edge"/>
          <c:x val="1.2374597663422433E-2"/>
          <c:y val="0.84578686234291911"/>
          <c:w val="0.98762532808398951"/>
          <c:h val="0.1542130509548375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NZ" sz="1000" b="1" i="0" u="none" strike="noStrike" kern="1200" spc="0" baseline="0">
                <a:solidFill>
                  <a:srgbClr val="00ABC5"/>
                </a:solidFill>
              </a:rPr>
              <a:t>Projected water services FFO to net debt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781299277788633"/>
          <c:y val="0.14861172931128766"/>
          <c:w val="0.75495431879187425"/>
          <c:h val="0.60512505609220379"/>
        </c:manualLayout>
      </c:layout>
      <c:barChart>
        <c:barDir val="col"/>
        <c:grouping val="stacked"/>
        <c:varyColors val="0"/>
        <c:ser>
          <c:idx val="3"/>
          <c:order val="2"/>
          <c:tx>
            <c:strRef>
              <c:f>'1. Charts'!$A$32</c:f>
              <c:strCache>
                <c:ptCount val="1"/>
                <c:pt idx="0">
                  <c:v>Net debt ($m)</c:v>
                </c:pt>
              </c:strCache>
            </c:strRef>
          </c:tx>
          <c:spPr>
            <a:solidFill>
              <a:srgbClr val="C8A5E3"/>
            </a:solidFill>
            <a:ln>
              <a:noFill/>
            </a:ln>
            <a:effectLst/>
          </c:spPr>
          <c:invertIfNegative val="0"/>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Charts'!$B$32:$K$32</c:f>
              <c:numCache>
                <c:formatCode>_-* #,##0.0_-;\-* #,##0.0_-;_-* "-"??_-;_-@_-</c:formatCode>
                <c:ptCount val="10"/>
                <c:pt idx="0">
                  <c:v>154.77193249999999</c:v>
                </c:pt>
                <c:pt idx="1">
                  <c:v>189.94642551999999</c:v>
                </c:pt>
                <c:pt idx="2">
                  <c:v>225.14417202999996</c:v>
                </c:pt>
                <c:pt idx="3">
                  <c:v>273.79624171683548</c:v>
                </c:pt>
                <c:pt idx="4">
                  <c:v>305.11512397263994</c:v>
                </c:pt>
                <c:pt idx="5">
                  <c:v>319.45869474177476</c:v>
                </c:pt>
                <c:pt idx="6">
                  <c:v>332.25939914036917</c:v>
                </c:pt>
                <c:pt idx="7">
                  <c:v>337.72314327524663</c:v>
                </c:pt>
                <c:pt idx="8">
                  <c:v>340.00845219157623</c:v>
                </c:pt>
                <c:pt idx="9">
                  <c:v>340.1065480803511</c:v>
                </c:pt>
              </c:numCache>
            </c:numRef>
          </c:val>
          <c:extLst>
            <c:ext xmlns:c16="http://schemas.microsoft.com/office/drawing/2014/chart" uri="{C3380CC4-5D6E-409C-BE32-E72D297353CC}">
              <c16:uniqueId val="{00000003-1523-41F4-B5AC-87D16CF15E27}"/>
            </c:ext>
          </c:extLst>
        </c:ser>
        <c:ser>
          <c:idx val="4"/>
          <c:order val="3"/>
          <c:tx>
            <c:strRef>
              <c:f>'1. Charts'!$A$33</c:f>
              <c:strCache>
                <c:ptCount val="1"/>
                <c:pt idx="0">
                  <c:v>Debt headroom to FFO covenant ($m)</c:v>
                </c:pt>
              </c:strCache>
            </c:strRef>
          </c:tx>
          <c:spPr>
            <a:solidFill>
              <a:schemeClr val="bg1">
                <a:lumMod val="85000"/>
              </a:schemeClr>
            </a:solidFill>
            <a:ln>
              <a:noFill/>
            </a:ln>
            <a:effectLst/>
          </c:spPr>
          <c:invertIfNegative val="0"/>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Charts'!$B$33:$K$33</c:f>
              <c:numCache>
                <c:formatCode>#,##0.0\ ;\(#,##0.0\)</c:formatCode>
                <c:ptCount val="10"/>
                <c:pt idx="0">
                  <c:v>23.432088722222232</c:v>
                </c:pt>
                <c:pt idx="1">
                  <c:v>6.0133811466668021</c:v>
                </c:pt>
                <c:pt idx="2">
                  <c:v>17.405019970000183</c:v>
                </c:pt>
                <c:pt idx="3">
                  <c:v>-54.968774353896748</c:v>
                </c:pt>
                <c:pt idx="4">
                  <c:v>-68.305069276022408</c:v>
                </c:pt>
                <c:pt idx="5">
                  <c:v>-15.947987154532655</c:v>
                </c:pt>
                <c:pt idx="6">
                  <c:v>16.098780050672076</c:v>
                </c:pt>
                <c:pt idx="7">
                  <c:v>37.524762525110191</c:v>
                </c:pt>
                <c:pt idx="8">
                  <c:v>37.778701129855108</c:v>
                </c:pt>
                <c:pt idx="9">
                  <c:v>37.789649688723216</c:v>
                </c:pt>
              </c:numCache>
            </c:numRef>
          </c:val>
          <c:extLst>
            <c:ext xmlns:c16="http://schemas.microsoft.com/office/drawing/2014/chart" uri="{C3380CC4-5D6E-409C-BE32-E72D297353CC}">
              <c16:uniqueId val="{00000004-1523-41F4-B5AC-87D16CF15E27}"/>
            </c:ext>
          </c:extLst>
        </c:ser>
        <c:dLbls>
          <c:showLegendKey val="0"/>
          <c:showVal val="0"/>
          <c:showCatName val="0"/>
          <c:showSerName val="0"/>
          <c:showPercent val="0"/>
          <c:showBubbleSize val="0"/>
        </c:dLbls>
        <c:gapWidth val="150"/>
        <c:overlap val="100"/>
        <c:axId val="494290511"/>
        <c:axId val="494299631"/>
      </c:barChart>
      <c:lineChart>
        <c:grouping val="standard"/>
        <c:varyColors val="0"/>
        <c:ser>
          <c:idx val="1"/>
          <c:order val="0"/>
          <c:tx>
            <c:strRef>
              <c:f>'1. Charts'!$A$30</c:f>
              <c:strCache>
                <c:ptCount val="1"/>
                <c:pt idx="0">
                  <c:v>Water services FFO covenant (LGFA)</c:v>
                </c:pt>
              </c:strCache>
            </c:strRef>
          </c:tx>
          <c:spPr>
            <a:ln w="28575" cap="rnd">
              <a:solidFill>
                <a:srgbClr val="C00000"/>
              </a:solidFill>
              <a:prstDash val="dash"/>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Charts'!$B$30:$K$30</c:f>
              <c:numCache>
                <c:formatCode>#,##0.0%\ ;\(#,##0.0%\)</c:formatCode>
                <c:ptCount val="10"/>
                <c:pt idx="0">
                  <c:v>0.09</c:v>
                </c:pt>
                <c:pt idx="1">
                  <c:v>0.09</c:v>
                </c:pt>
                <c:pt idx="2">
                  <c:v>0.09</c:v>
                </c:pt>
                <c:pt idx="3">
                  <c:v>0.09</c:v>
                </c:pt>
                <c:pt idx="4">
                  <c:v>0.09</c:v>
                </c:pt>
                <c:pt idx="5">
                  <c:v>0.09</c:v>
                </c:pt>
                <c:pt idx="6">
                  <c:v>0.09</c:v>
                </c:pt>
                <c:pt idx="7">
                  <c:v>0.09</c:v>
                </c:pt>
                <c:pt idx="8">
                  <c:v>0.09</c:v>
                </c:pt>
                <c:pt idx="9">
                  <c:v>0.09</c:v>
                </c:pt>
              </c:numCache>
            </c:numRef>
          </c:val>
          <c:smooth val="0"/>
          <c:extLst>
            <c:ext xmlns:c16="http://schemas.microsoft.com/office/drawing/2014/chart" uri="{C3380CC4-5D6E-409C-BE32-E72D297353CC}">
              <c16:uniqueId val="{00000000-1523-41F4-B5AC-87D16CF15E27}"/>
            </c:ext>
          </c:extLst>
        </c:ser>
        <c:ser>
          <c:idx val="2"/>
          <c:order val="1"/>
          <c:tx>
            <c:strRef>
              <c:f>'1. Charts'!$A$27</c:f>
              <c:strCache>
                <c:ptCount val="1"/>
                <c:pt idx="0">
                  <c:v>FFO to debt ratio</c:v>
                </c:pt>
              </c:strCache>
            </c:strRef>
          </c:tx>
          <c:spPr>
            <a:ln w="28575" cap="rnd">
              <a:solidFill>
                <a:schemeClr val="accent3"/>
              </a:solidFill>
              <a:prstDash val="dash"/>
              <a:round/>
            </a:ln>
            <a:effectLst/>
          </c:spPr>
          <c:marker>
            <c:symbol val="none"/>
          </c:marker>
          <c:cat>
            <c:strRef>
              <c:f>'1. Charts'!$B$10:$K$10</c:f>
              <c:strCache>
                <c:ptCount val="10"/>
                <c:pt idx="0">
                  <c:v>24/25</c:v>
                </c:pt>
                <c:pt idx="1">
                  <c:v>25/26</c:v>
                </c:pt>
                <c:pt idx="2">
                  <c:v>26/27</c:v>
                </c:pt>
                <c:pt idx="3">
                  <c:v>27/28</c:v>
                </c:pt>
                <c:pt idx="4">
                  <c:v>28/29</c:v>
                </c:pt>
                <c:pt idx="5">
                  <c:v>29/30</c:v>
                </c:pt>
                <c:pt idx="6">
                  <c:v>30/31</c:v>
                </c:pt>
                <c:pt idx="7">
                  <c:v>31/32</c:v>
                </c:pt>
                <c:pt idx="8">
                  <c:v>32/33</c:v>
                </c:pt>
                <c:pt idx="9">
                  <c:v>33/34</c:v>
                </c:pt>
              </c:strCache>
            </c:strRef>
          </c:cat>
          <c:val>
            <c:numRef>
              <c:f>'1. Charts'!$B$27:$K$27</c:f>
              <c:numCache>
                <c:formatCode>#,##0.0%\ ;\(#,##0.0%\)</c:formatCode>
                <c:ptCount val="10"/>
                <c:pt idx="0">
                  <c:v>0.10362577794911232</c:v>
                </c:pt>
                <c:pt idx="1">
                  <c:v>9.2849247105958446E-2</c:v>
                </c:pt>
                <c:pt idx="2">
                  <c:v>9.6957549836516707E-2</c:v>
                </c:pt>
                <c:pt idx="3">
                  <c:v>7.1931126370364237E-2</c:v>
                </c:pt>
                <c:pt idx="4">
                  <c:v>6.9852010759737793E-2</c:v>
                </c:pt>
                <c:pt idx="5">
                  <c:v>8.5507028396681659E-2</c:v>
                </c:pt>
                <c:pt idx="6">
                  <c:v>9.4360719992599443E-2</c:v>
                </c:pt>
                <c:pt idx="7">
                  <c:v>9.9999991692921827E-2</c:v>
                </c:pt>
                <c:pt idx="8">
                  <c:v>9.9999995822960305E-2</c:v>
                </c:pt>
                <c:pt idx="9">
                  <c:v>0.10000000879483678</c:v>
                </c:pt>
              </c:numCache>
            </c:numRef>
          </c:val>
          <c:smooth val="0"/>
          <c:extLst>
            <c:ext xmlns:c16="http://schemas.microsoft.com/office/drawing/2014/chart" uri="{C3380CC4-5D6E-409C-BE32-E72D297353CC}">
              <c16:uniqueId val="{00000001-1523-41F4-B5AC-87D16CF15E27}"/>
            </c:ext>
          </c:extLst>
        </c:ser>
        <c:dLbls>
          <c:showLegendKey val="0"/>
          <c:showVal val="0"/>
          <c:showCatName val="0"/>
          <c:showSerName val="0"/>
          <c:showPercent val="0"/>
          <c:showBubbleSize val="0"/>
        </c:dLbls>
        <c:marker val="1"/>
        <c:smooth val="0"/>
        <c:axId val="494276591"/>
        <c:axId val="494290991"/>
      </c:lineChart>
      <c:catAx>
        <c:axId val="49429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9631"/>
        <c:crosses val="autoZero"/>
        <c:auto val="1"/>
        <c:lblAlgn val="ctr"/>
        <c:lblOffset val="100"/>
        <c:noMultiLvlLbl val="0"/>
      </c:catAx>
      <c:valAx>
        <c:axId val="494299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NZ" sz="800"/>
                  <a:t>$m</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itle>
        <c:numFmt formatCode="#,##0_ ;[Red]\(#,##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90511"/>
        <c:crosses val="autoZero"/>
        <c:crossBetween val="between"/>
      </c:valAx>
      <c:valAx>
        <c:axId val="49429099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sz="800"/>
                  <a:t>FFO to net debt</a:t>
                </a:r>
              </a:p>
            </c:rich>
          </c:tx>
          <c:layout>
            <c:manualLayout>
              <c:xMode val="edge"/>
              <c:yMode val="edge"/>
              <c:x val="0.94833528207744522"/>
              <c:y val="0.19552933781223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494276591"/>
        <c:crosses val="max"/>
        <c:crossBetween val="between"/>
      </c:valAx>
      <c:catAx>
        <c:axId val="494276591"/>
        <c:scaling>
          <c:orientation val="minMax"/>
        </c:scaling>
        <c:delete val="1"/>
        <c:axPos val="b"/>
        <c:numFmt formatCode="General" sourceLinked="1"/>
        <c:majorTickMark val="out"/>
        <c:minorTickMark val="none"/>
        <c:tickLblPos val="nextTo"/>
        <c:crossAx val="494290991"/>
        <c:crosses val="autoZero"/>
        <c:auto val="1"/>
        <c:lblAlgn val="ctr"/>
        <c:lblOffset val="100"/>
        <c:noMultiLvlLbl val="0"/>
      </c:catAx>
      <c:spPr>
        <a:noFill/>
        <a:ln>
          <a:noFill/>
        </a:ln>
        <a:effectLst/>
      </c:spPr>
    </c:plotArea>
    <c:legend>
      <c:legendPos val="b"/>
      <c:layout>
        <c:manualLayout>
          <c:xMode val="edge"/>
          <c:yMode val="edge"/>
          <c:x val="8.2222004201492074E-2"/>
          <c:y val="0.84578667891593939"/>
          <c:w val="0.87362826570560925"/>
          <c:h val="0.12796325218190169"/>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6C9BBF8E-8153-476B-A553-86A751F31146}">
    <Anchor>
      <Comment id="{8F18EBFB-B207-4B8F-900A-E98CB4C22D9F}"/>
    </Anchor>
    <History>
      <Event time="2025-08-18T01:55:28.38" id="{4758D35C-3C12-4809-9DF8-58B5CB2288BE}">
        <Attribution userId="S::Mike.Chatterley@martinjenkins.co.nz::6eef6c54-4d31-44cf-9774-7731c8a29a1c" userName="Mike Chatterley" userProvider="AD"/>
        <Anchor>
          <Comment id="{8F18EBFB-B207-4B8F-900A-E98CB4C22D9F}"/>
        </Anchor>
        <Create/>
      </Event>
      <Event time="2025-08-18T01:55:28.38" id="{19EAEF6A-539B-4621-89AC-0C97B7E04DBC}">
        <Attribution userId="S::Mike.Chatterley@martinjenkins.co.nz::6eef6c54-4d31-44cf-9774-7731c8a29a1c" userName="Mike Chatterley" userProvider="AD"/>
        <Anchor>
          <Comment id="{8F18EBFB-B207-4B8F-900A-E98CB4C22D9F}"/>
        </Anchor>
        <Assign userId="S::Aaron.Gabbie@martinjenkins.co.nz::3cbc7caf-0c8e-4486-bce2-36c9fb28e644" userName="Aaron Gabbie" userProvider="AD"/>
      </Event>
      <Event time="2025-08-18T01:55:28.38" id="{A0E1C342-9FF7-4583-BAA6-8021F5E40059}">
        <Attribution userId="S::Mike.Chatterley@martinjenkins.co.nz::6eef6c54-4d31-44cf-9774-7731c8a29a1c" userName="Mike Chatterley" userProvider="AD"/>
        <Anchor>
          <Comment id="{8F18EBFB-B207-4B8F-900A-E98CB4C22D9F}"/>
        </Anchor>
        <SetTitle title="@Aaron Gabbie - looks like a hard coded issue. Seem to have fixed it."/>
      </Event>
      <Event time="2025-08-18T02:11:57.58" id="{00F8F2D1-E352-4374-9263-72A5A0350890}">
        <Attribution userId="S::Aaron.Gabbie@martinjenkins.co.nz::3cbc7caf-0c8e-4486-bce2-36c9fb28e644" userName="Aaron Gabbie" userProvider="AD"/>
        <Progress percentComplete="100"/>
      </Event>
    </History>
  </Task>
  <Task id="{2C14CE9E-C2CE-4FAF-AEA0-EAF0C783893C}">
    <Anchor>
      <Comment id="{A0332DA6-21A3-4D13-909B-E8A78FDA753B}"/>
    </Anchor>
    <History>
      <Event time="2025-08-18T01:57:08.47" id="{4B209C2C-5CFA-46BF-9A93-CD699E64D8C0}">
        <Attribution userId="S::Mike.Chatterley@martinjenkins.co.nz::6eef6c54-4d31-44cf-9774-7731c8a29a1c" userName="Mike Chatterley" userProvider="AD"/>
        <Anchor>
          <Comment id="{A0332DA6-21A3-4D13-909B-E8A78FDA753B}"/>
        </Anchor>
        <Create/>
      </Event>
      <Event time="2025-08-18T01:57:08.47" id="{E7105AE2-FFFA-42B8-88A6-38DBC2743470}">
        <Attribution userId="S::Mike.Chatterley@martinjenkins.co.nz::6eef6c54-4d31-44cf-9774-7731c8a29a1c" userName="Mike Chatterley" userProvider="AD"/>
        <Anchor>
          <Comment id="{A0332DA6-21A3-4D13-909B-E8A78FDA753B}"/>
        </Anchor>
        <Assign userId="S::Aaron.Gabbie@martinjenkins.co.nz::3cbc7caf-0c8e-4486-bce2-36c9fb28e644" userName="Aaron Gabbie" userProvider="AD"/>
      </Event>
      <Event time="2025-08-18T01:57:08.47" id="{49CD13F8-21DC-49C1-9838-BA324CCF9BF5}">
        <Attribution userId="S::Mike.Chatterley@martinjenkins.co.nz::6eef6c54-4d31-44cf-9774-7731c8a29a1c" userName="Mike Chatterley" userProvider="AD"/>
        <Anchor>
          <Comment id="{A0332DA6-21A3-4D13-909B-E8A78FDA753B}"/>
        </Anchor>
        <SetTitle title="@Aaron Gabbie - can you check the financials please?"/>
      </Event>
    </History>
  </Task>
</Tasks>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1099235</xdr:colOff>
      <xdr:row>41</xdr:row>
      <xdr:rowOff>31618</xdr:rowOff>
    </xdr:from>
    <xdr:to>
      <xdr:col>4</xdr:col>
      <xdr:colOff>1052362</xdr:colOff>
      <xdr:row>56</xdr:row>
      <xdr:rowOff>54118</xdr:rowOff>
    </xdr:to>
    <xdr:graphicFrame macro="">
      <xdr:nvGraphicFramePr>
        <xdr:cNvPr id="3" name="Chart 2">
          <a:extLst>
            <a:ext uri="{FF2B5EF4-FFF2-40B4-BE49-F238E27FC236}">
              <a16:creationId xmlns:a16="http://schemas.microsoft.com/office/drawing/2014/main" id="{F950BB6B-FDD6-446C-99D1-24ED6D328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997321</xdr:colOff>
      <xdr:row>57</xdr:row>
      <xdr:rowOff>145676</xdr:rowOff>
    </xdr:from>
    <xdr:to>
      <xdr:col>5</xdr:col>
      <xdr:colOff>266714</xdr:colOff>
      <xdr:row>72</xdr:row>
      <xdr:rowOff>168176</xdr:rowOff>
    </xdr:to>
    <xdr:graphicFrame macro="">
      <xdr:nvGraphicFramePr>
        <xdr:cNvPr id="4" name="Chart 3">
          <a:extLst>
            <a:ext uri="{FF2B5EF4-FFF2-40B4-BE49-F238E27FC236}">
              <a16:creationId xmlns:a16="http://schemas.microsoft.com/office/drawing/2014/main" id="{2060830D-F621-4F71-B489-1752CAAF2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672353</xdr:colOff>
      <xdr:row>57</xdr:row>
      <xdr:rowOff>100852</xdr:rowOff>
    </xdr:from>
    <xdr:to>
      <xdr:col>11</xdr:col>
      <xdr:colOff>145853</xdr:colOff>
      <xdr:row>72</xdr:row>
      <xdr:rowOff>123352</xdr:rowOff>
    </xdr:to>
    <xdr:graphicFrame macro="">
      <xdr:nvGraphicFramePr>
        <xdr:cNvPr id="5" name="Chart 4">
          <a:extLst>
            <a:ext uri="{FF2B5EF4-FFF2-40B4-BE49-F238E27FC236}">
              <a16:creationId xmlns:a16="http://schemas.microsoft.com/office/drawing/2014/main" id="{3CBA44E6-1FCB-4957-B93B-991762E10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587713</xdr:colOff>
      <xdr:row>41</xdr:row>
      <xdr:rowOff>13510</xdr:rowOff>
    </xdr:from>
    <xdr:to>
      <xdr:col>11</xdr:col>
      <xdr:colOff>61213</xdr:colOff>
      <xdr:row>57</xdr:row>
      <xdr:rowOff>141861</xdr:rowOff>
    </xdr:to>
    <xdr:graphicFrame macro="">
      <xdr:nvGraphicFramePr>
        <xdr:cNvPr id="2" name="Chart 1">
          <a:extLst>
            <a:ext uri="{FF2B5EF4-FFF2-40B4-BE49-F238E27FC236}">
              <a16:creationId xmlns:a16="http://schemas.microsoft.com/office/drawing/2014/main" id="{4290E591-C39A-48D0-8BDA-DF067C11F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aron Gabbie" id="{88AA5EB4-67CA-4D71-969B-EAAAC42FCC95}" userId="Aaron.Gabbie@martinjenkins.co.nz" providerId="PeoplePicker"/>
  <person displayName="Mike Chatterley" id="{508BEE20-438F-4BDC-9C7A-6F79BAF5C7EB}" userId="S::Mike.Chatterley@martinjenkins.co.nz::6eef6c54-4d31-44cf-9774-7731c8a29a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29" dT="2025-08-18T01:57:08.47" personId="{508BEE20-438F-4BDC-9C7A-6F79BAF5C7EB}" id="{A0332DA6-21A3-4D13-909B-E8A78FDA753B}">
    <text>@Aaron Gabbie  - can you check the financials please?</text>
    <mentions>
      <mention mentionpersonId="{88AA5EB4-67CA-4D71-969B-EAAAC42FCC95}" mentionId="{FD9812BC-6AA7-4CAC-87F0-780A75D67AA5}" startIndex="0" length="13"/>
    </mentions>
  </threadedComment>
  <threadedComment ref="L33" dT="2025-08-18T01:55:28.38" personId="{508BEE20-438F-4BDC-9C7A-6F79BAF5C7EB}" id="{8F18EBFB-B207-4B8F-900A-E98CB4C22D9F}" done="1">
    <text>@Aaron Gabbie  - looks like a hard coded issue. Seem to have fixed it.</text>
    <mentions>
      <mention mentionpersonId="{88AA5EB4-67CA-4D71-969B-EAAAC42FCC95}" mentionId="{A9566966-095B-4AF2-9921-C137E104C55F}" startIndex="0" length="13"/>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821D8-10A0-4F25-8E69-C3E66D46A582}">
  <sheetPr codeName="Sheet24">
    <pageSetUpPr fitToPage="1"/>
  </sheetPr>
  <dimension ref="A1:L127"/>
  <sheetViews>
    <sheetView workbookViewId="0">
      <selection activeCell="B28" sqref="B28:C28"/>
    </sheetView>
  </sheetViews>
  <sheetFormatPr defaultColWidth="0" defaultRowHeight="14.5" zeroHeight="1"/>
  <cols>
    <col min="1" max="1" width="1.7265625" style="16" customWidth="1"/>
    <col min="2" max="2" width="4.453125" style="16" customWidth="1"/>
    <col min="3" max="3" width="120.81640625" style="16" customWidth="1"/>
    <col min="4" max="4" width="1.7265625" style="16" customWidth="1"/>
    <col min="5" max="16384" width="9.453125" style="16" hidden="1"/>
  </cols>
  <sheetData>
    <row r="1" spans="1:4" ht="26.5" thickBot="1">
      <c r="A1" s="12"/>
      <c r="B1" s="13" t="s">
        <v>0</v>
      </c>
      <c r="C1" s="14"/>
      <c r="D1" s="15"/>
    </row>
    <row r="2" spans="1:4" ht="10.4" customHeight="1" thickTop="1" thickBot="1">
      <c r="A2" s="17"/>
      <c r="B2" s="18"/>
      <c r="C2" s="19"/>
      <c r="D2" s="20"/>
    </row>
    <row r="3" spans="1:4" ht="15" thickTop="1">
      <c r="A3" s="17"/>
      <c r="B3" s="21" t="s">
        <v>1</v>
      </c>
      <c r="C3" s="22"/>
      <c r="D3" s="20"/>
    </row>
    <row r="4" spans="1:4" ht="30.75" customHeight="1">
      <c r="A4" s="17"/>
      <c r="B4" s="127" t="s">
        <v>2</v>
      </c>
      <c r="C4" s="128"/>
      <c r="D4" s="20"/>
    </row>
    <row r="5" spans="1:4" ht="5.25" customHeight="1">
      <c r="A5" s="17"/>
      <c r="B5" s="23"/>
      <c r="C5" s="24"/>
      <c r="D5" s="20"/>
    </row>
    <row r="6" spans="1:4">
      <c r="A6" s="17"/>
      <c r="B6" s="25" t="s">
        <v>3</v>
      </c>
      <c r="C6" s="26"/>
      <c r="D6" s="20"/>
    </row>
    <row r="7" spans="1:4" ht="5.25" customHeight="1">
      <c r="A7" s="17"/>
      <c r="B7" s="23"/>
      <c r="C7" s="24"/>
      <c r="D7" s="20"/>
    </row>
    <row r="8" spans="1:4" ht="67.5" customHeight="1">
      <c r="A8" s="17"/>
      <c r="B8" s="27" t="s">
        <v>4</v>
      </c>
      <c r="C8" s="28" t="s">
        <v>5</v>
      </c>
      <c r="D8" s="20"/>
    </row>
    <row r="9" spans="1:4" ht="5.25" customHeight="1">
      <c r="A9" s="17"/>
      <c r="B9" s="23"/>
      <c r="C9" s="24"/>
      <c r="D9" s="20"/>
    </row>
    <row r="10" spans="1:4" ht="30.75" customHeight="1">
      <c r="A10" s="17"/>
      <c r="B10" s="127" t="s">
        <v>6</v>
      </c>
      <c r="C10" s="128"/>
      <c r="D10" s="20"/>
    </row>
    <row r="11" spans="1:4" ht="5.25" customHeight="1">
      <c r="A11" s="17"/>
      <c r="B11" s="23"/>
      <c r="C11" s="24"/>
      <c r="D11" s="20"/>
    </row>
    <row r="12" spans="1:4" ht="78" customHeight="1">
      <c r="A12" s="17"/>
      <c r="B12" s="27" t="s">
        <v>4</v>
      </c>
      <c r="C12" s="28" t="s">
        <v>7</v>
      </c>
      <c r="D12" s="20"/>
    </row>
    <row r="13" spans="1:4" ht="5.25" customHeight="1">
      <c r="A13" s="17"/>
      <c r="B13" s="23"/>
      <c r="C13" s="24"/>
      <c r="D13" s="20"/>
    </row>
    <row r="14" spans="1:4">
      <c r="A14" s="17"/>
      <c r="B14" s="25" t="s">
        <v>8</v>
      </c>
      <c r="C14" s="26"/>
      <c r="D14" s="20"/>
    </row>
    <row r="15" spans="1:4" ht="5.25" customHeight="1">
      <c r="A15" s="17"/>
      <c r="B15" s="23"/>
      <c r="C15" s="24"/>
      <c r="D15" s="20"/>
    </row>
    <row r="16" spans="1:4" ht="205.5" customHeight="1">
      <c r="A16" s="17"/>
      <c r="B16" s="27" t="s">
        <v>9</v>
      </c>
      <c r="C16" s="28" t="s">
        <v>10</v>
      </c>
      <c r="D16" s="20"/>
    </row>
    <row r="17" spans="1:4">
      <c r="A17" s="17"/>
      <c r="B17" s="27"/>
      <c r="C17" s="28"/>
      <c r="D17" s="20"/>
    </row>
    <row r="18" spans="1:4">
      <c r="A18" s="17"/>
      <c r="B18" s="29" t="s">
        <v>11</v>
      </c>
      <c r="C18" s="30"/>
      <c r="D18" s="20"/>
    </row>
    <row r="19" spans="1:4" ht="30.75" customHeight="1">
      <c r="A19" s="17"/>
      <c r="B19" s="127" t="s">
        <v>12</v>
      </c>
      <c r="C19" s="128"/>
      <c r="D19" s="20"/>
    </row>
    <row r="20" spans="1:4" ht="5.25" customHeight="1">
      <c r="A20" s="17"/>
      <c r="B20" s="23"/>
      <c r="C20" s="24"/>
      <c r="D20" s="20"/>
    </row>
    <row r="21" spans="1:4" ht="30" customHeight="1">
      <c r="A21" s="17"/>
      <c r="B21" s="127" t="s">
        <v>13</v>
      </c>
      <c r="C21" s="128"/>
      <c r="D21" s="20"/>
    </row>
    <row r="22" spans="1:4" ht="5.25" customHeight="1">
      <c r="A22" s="17"/>
      <c r="B22" s="23"/>
      <c r="C22" s="24"/>
      <c r="D22" s="20"/>
    </row>
    <row r="23" spans="1:4">
      <c r="A23" s="17"/>
      <c r="B23" s="25" t="s">
        <v>14</v>
      </c>
      <c r="C23" s="26"/>
      <c r="D23" s="20"/>
    </row>
    <row r="24" spans="1:4" ht="5.25" customHeight="1">
      <c r="A24" s="17"/>
      <c r="B24" s="23"/>
      <c r="C24" s="24"/>
      <c r="D24" s="20"/>
    </row>
    <row r="25" spans="1:4" ht="48" customHeight="1">
      <c r="A25" s="17"/>
      <c r="B25" s="27" t="s">
        <v>15</v>
      </c>
      <c r="C25" s="28" t="s">
        <v>16</v>
      </c>
      <c r="D25" s="20"/>
    </row>
    <row r="26" spans="1:4" ht="31.5" customHeight="1">
      <c r="A26" s="17"/>
      <c r="B26" s="127" t="s">
        <v>17</v>
      </c>
      <c r="C26" s="128"/>
      <c r="D26" s="20"/>
    </row>
    <row r="27" spans="1:4" ht="5.25" customHeight="1">
      <c r="A27" s="17"/>
      <c r="B27" s="23"/>
      <c r="C27" s="24"/>
      <c r="D27" s="20"/>
    </row>
    <row r="28" spans="1:4" ht="45.75" customHeight="1">
      <c r="A28" s="17"/>
      <c r="B28" s="127" t="s">
        <v>18</v>
      </c>
      <c r="C28" s="128"/>
      <c r="D28" s="20"/>
    </row>
    <row r="29" spans="1:4" ht="5.25" customHeight="1">
      <c r="A29" s="17"/>
      <c r="B29" s="23"/>
      <c r="C29" s="24"/>
      <c r="D29" s="20"/>
    </row>
    <row r="30" spans="1:4">
      <c r="A30" s="17"/>
      <c r="B30" s="25" t="s">
        <v>19</v>
      </c>
      <c r="C30" s="26"/>
      <c r="D30" s="20"/>
    </row>
    <row r="31" spans="1:4" ht="48" customHeight="1">
      <c r="A31" s="17"/>
      <c r="B31" s="27" t="s">
        <v>20</v>
      </c>
      <c r="C31" s="28" t="s">
        <v>21</v>
      </c>
      <c r="D31" s="20"/>
    </row>
    <row r="32" spans="1:4" ht="5.25" customHeight="1">
      <c r="A32" s="17"/>
      <c r="B32" s="23"/>
      <c r="C32" s="24"/>
      <c r="D32" s="20"/>
    </row>
    <row r="33" spans="1:12">
      <c r="A33" s="17"/>
      <c r="B33" s="25" t="s">
        <v>22</v>
      </c>
      <c r="C33" s="26"/>
      <c r="D33" s="20"/>
      <c r="L33" s="16">
        <v>1</v>
      </c>
    </row>
    <row r="34" spans="1:12" ht="46.5" customHeight="1">
      <c r="A34" s="17"/>
      <c r="B34" s="27" t="s">
        <v>15</v>
      </c>
      <c r="C34" s="28" t="s">
        <v>23</v>
      </c>
      <c r="D34" s="20"/>
    </row>
    <row r="35" spans="1:12" ht="5.25" customHeight="1">
      <c r="A35" s="17"/>
      <c r="B35" s="23"/>
      <c r="C35" s="24"/>
      <c r="D35" s="20"/>
    </row>
    <row r="36" spans="1:12">
      <c r="A36" s="17"/>
      <c r="B36" s="25" t="s">
        <v>24</v>
      </c>
      <c r="C36" s="26"/>
      <c r="D36" s="20"/>
    </row>
    <row r="37" spans="1:12" ht="61.5" customHeight="1">
      <c r="A37" s="17"/>
      <c r="B37" s="27" t="s">
        <v>4</v>
      </c>
      <c r="C37" s="28" t="s">
        <v>25</v>
      </c>
      <c r="D37" s="20"/>
    </row>
    <row r="38" spans="1:12">
      <c r="A38" s="17"/>
      <c r="B38" s="27"/>
      <c r="C38" s="28"/>
      <c r="D38" s="20"/>
    </row>
    <row r="39" spans="1:12">
      <c r="A39" s="17"/>
      <c r="B39" s="29" t="s">
        <v>26</v>
      </c>
      <c r="C39" s="30"/>
      <c r="D39" s="20"/>
    </row>
    <row r="40" spans="1:12" ht="36.75" customHeight="1">
      <c r="A40" s="17"/>
      <c r="B40" s="127" t="s">
        <v>27</v>
      </c>
      <c r="C40" s="128"/>
      <c r="D40" s="20"/>
    </row>
    <row r="41" spans="1:12">
      <c r="A41" s="17"/>
      <c r="B41" s="27"/>
      <c r="C41" s="28"/>
      <c r="D41" s="20"/>
    </row>
    <row r="42" spans="1:12">
      <c r="A42" s="17"/>
      <c r="B42" s="129" t="s">
        <v>28</v>
      </c>
      <c r="C42" s="130"/>
      <c r="D42" s="20"/>
    </row>
    <row r="43" spans="1:12">
      <c r="A43" s="17"/>
      <c r="B43" s="25" t="s">
        <v>29</v>
      </c>
      <c r="C43" s="26"/>
      <c r="D43" s="20"/>
    </row>
    <row r="44" spans="1:12" ht="33.75" customHeight="1">
      <c r="A44" s="17"/>
      <c r="B44" s="27" t="s">
        <v>30</v>
      </c>
      <c r="C44" s="28" t="s">
        <v>31</v>
      </c>
      <c r="D44" s="20"/>
    </row>
    <row r="45" spans="1:12" ht="29">
      <c r="A45" s="17"/>
      <c r="B45" s="27" t="s">
        <v>30</v>
      </c>
      <c r="C45" s="28" t="s">
        <v>32</v>
      </c>
      <c r="D45" s="20"/>
    </row>
    <row r="46" spans="1:12" ht="32.25" customHeight="1">
      <c r="A46" s="17"/>
      <c r="B46" s="27" t="s">
        <v>30</v>
      </c>
      <c r="C46" s="28" t="s">
        <v>33</v>
      </c>
      <c r="D46" s="20"/>
    </row>
    <row r="47" spans="1:12" ht="32.25" customHeight="1">
      <c r="A47" s="17"/>
      <c r="B47" s="27" t="s">
        <v>30</v>
      </c>
      <c r="C47" s="28" t="s">
        <v>34</v>
      </c>
      <c r="D47" s="20"/>
    </row>
    <row r="48" spans="1:12">
      <c r="A48" s="17"/>
      <c r="B48" s="27"/>
      <c r="C48" s="28"/>
      <c r="D48" s="20"/>
    </row>
    <row r="49" spans="1:4" ht="33.75" customHeight="1">
      <c r="A49" s="17"/>
      <c r="B49" s="31"/>
      <c r="C49" s="32" t="s">
        <v>35</v>
      </c>
      <c r="D49" s="20"/>
    </row>
    <row r="50" spans="1:4" ht="16.5" customHeight="1">
      <c r="A50" s="17"/>
      <c r="B50" s="33" t="s">
        <v>36</v>
      </c>
      <c r="C50" s="28"/>
      <c r="D50" s="20"/>
    </row>
    <row r="51" spans="1:4" ht="5.25" customHeight="1">
      <c r="A51" s="17"/>
      <c r="B51" s="23"/>
      <c r="C51" s="24"/>
      <c r="D51" s="20"/>
    </row>
    <row r="52" spans="1:4" ht="29">
      <c r="A52" s="17"/>
      <c r="B52" s="27" t="s">
        <v>30</v>
      </c>
      <c r="C52" s="28" t="s">
        <v>37</v>
      </c>
      <c r="D52" s="20"/>
    </row>
    <row r="53" spans="1:4" ht="5.25" customHeight="1">
      <c r="A53" s="17"/>
      <c r="B53" s="23"/>
      <c r="C53" s="24"/>
      <c r="D53" s="20"/>
    </row>
    <row r="54" spans="1:4" ht="29">
      <c r="A54" s="17"/>
      <c r="B54" s="27" t="s">
        <v>30</v>
      </c>
      <c r="C54" s="28" t="s">
        <v>38</v>
      </c>
      <c r="D54" s="20"/>
    </row>
    <row r="55" spans="1:4" ht="5.25" customHeight="1">
      <c r="A55" s="17"/>
      <c r="B55" s="23"/>
      <c r="C55" s="24"/>
      <c r="D55" s="20"/>
    </row>
    <row r="56" spans="1:4" ht="48" customHeight="1">
      <c r="A56" s="17"/>
      <c r="B56" s="27" t="s">
        <v>30</v>
      </c>
      <c r="C56" s="28" t="s">
        <v>39</v>
      </c>
      <c r="D56" s="20"/>
    </row>
    <row r="57" spans="1:4" ht="5.25" customHeight="1">
      <c r="A57" s="17"/>
      <c r="B57" s="23"/>
      <c r="C57" s="24"/>
      <c r="D57" s="20"/>
    </row>
    <row r="58" spans="1:4" ht="29">
      <c r="A58" s="17"/>
      <c r="B58" s="27" t="s">
        <v>30</v>
      </c>
      <c r="C58" s="28" t="s">
        <v>40</v>
      </c>
      <c r="D58" s="20"/>
    </row>
    <row r="59" spans="1:4" ht="5.25" customHeight="1">
      <c r="A59" s="17"/>
      <c r="B59" s="23"/>
      <c r="C59" s="24"/>
      <c r="D59" s="20"/>
    </row>
    <row r="60" spans="1:4" ht="14.25" customHeight="1">
      <c r="A60" s="17"/>
      <c r="B60" s="33" t="s">
        <v>41</v>
      </c>
      <c r="C60" s="28"/>
      <c r="D60" s="20"/>
    </row>
    <row r="61" spans="1:4" ht="5.25" customHeight="1">
      <c r="A61" s="17"/>
      <c r="B61" s="23"/>
      <c r="C61" s="24"/>
      <c r="D61" s="20"/>
    </row>
    <row r="62" spans="1:4" ht="43.5">
      <c r="A62" s="17"/>
      <c r="B62" s="27" t="s">
        <v>30</v>
      </c>
      <c r="C62" s="28" t="s">
        <v>42</v>
      </c>
      <c r="D62" s="20"/>
    </row>
    <row r="63" spans="1:4" ht="5.25" customHeight="1">
      <c r="A63" s="17"/>
      <c r="B63" s="23"/>
      <c r="C63" s="24"/>
      <c r="D63" s="20"/>
    </row>
    <row r="64" spans="1:4" ht="20.25" customHeight="1">
      <c r="A64" s="17"/>
      <c r="B64" s="27" t="s">
        <v>30</v>
      </c>
      <c r="C64" s="24" t="s">
        <v>43</v>
      </c>
      <c r="D64" s="20"/>
    </row>
    <row r="65" spans="1:4" ht="5.25" customHeight="1">
      <c r="A65" s="17"/>
      <c r="B65" s="23"/>
      <c r="C65" s="24"/>
      <c r="D65" s="20"/>
    </row>
    <row r="66" spans="1:4" ht="43.5">
      <c r="A66" s="17"/>
      <c r="B66" s="27" t="s">
        <v>30</v>
      </c>
      <c r="C66" s="24" t="s">
        <v>44</v>
      </c>
      <c r="D66" s="20"/>
    </row>
    <row r="67" spans="1:4" ht="5.25" customHeight="1">
      <c r="A67" s="17"/>
      <c r="B67" s="23"/>
      <c r="C67" s="24"/>
      <c r="D67" s="20"/>
    </row>
    <row r="68" spans="1:4" ht="17.25" customHeight="1">
      <c r="A68" s="17"/>
      <c r="B68" s="33" t="s">
        <v>45</v>
      </c>
      <c r="C68" s="28"/>
      <c r="D68" s="20"/>
    </row>
    <row r="69" spans="1:4" ht="5.25" customHeight="1">
      <c r="A69" s="17"/>
      <c r="B69" s="23"/>
      <c r="C69" s="24"/>
      <c r="D69" s="20"/>
    </row>
    <row r="70" spans="1:4" ht="15.75" customHeight="1">
      <c r="A70" s="17"/>
      <c r="B70" s="27" t="s">
        <v>30</v>
      </c>
      <c r="C70" s="28" t="s">
        <v>46</v>
      </c>
      <c r="D70" s="20"/>
    </row>
    <row r="71" spans="1:4" ht="5.25" customHeight="1">
      <c r="A71" s="17"/>
      <c r="B71" s="23"/>
      <c r="C71" s="24"/>
      <c r="D71" s="20"/>
    </row>
    <row r="72" spans="1:4" ht="74.25" customHeight="1">
      <c r="A72" s="17"/>
      <c r="B72" s="27" t="s">
        <v>30</v>
      </c>
      <c r="C72" s="28" t="s">
        <v>47</v>
      </c>
      <c r="D72" s="20"/>
    </row>
    <row r="73" spans="1:4" ht="5.25" customHeight="1">
      <c r="A73" s="17"/>
      <c r="B73" s="23"/>
      <c r="C73" s="24"/>
      <c r="D73" s="20"/>
    </row>
    <row r="74" spans="1:4" ht="79.5" customHeight="1">
      <c r="A74" s="17"/>
      <c r="B74" s="27" t="s">
        <v>30</v>
      </c>
      <c r="C74" s="28" t="s">
        <v>48</v>
      </c>
      <c r="D74" s="20"/>
    </row>
    <row r="75" spans="1:4">
      <c r="A75" s="17"/>
      <c r="B75" s="27"/>
      <c r="C75" s="28"/>
      <c r="D75" s="20"/>
    </row>
    <row r="76" spans="1:4" ht="17.25" customHeight="1">
      <c r="A76" s="17"/>
      <c r="B76" s="34" t="s">
        <v>49</v>
      </c>
      <c r="C76" s="35"/>
      <c r="D76" s="20"/>
    </row>
    <row r="77" spans="1:4" ht="29">
      <c r="A77" s="17"/>
      <c r="B77" s="27" t="s">
        <v>30</v>
      </c>
      <c r="C77" s="28" t="s">
        <v>50</v>
      </c>
      <c r="D77" s="20"/>
    </row>
    <row r="78" spans="1:4" ht="5.25" customHeight="1">
      <c r="A78" s="17"/>
      <c r="B78" s="23"/>
      <c r="C78" s="24"/>
      <c r="D78" s="20"/>
    </row>
    <row r="79" spans="1:4" ht="29">
      <c r="A79" s="17"/>
      <c r="B79" s="27" t="s">
        <v>30</v>
      </c>
      <c r="C79" s="28" t="s">
        <v>51</v>
      </c>
      <c r="D79" s="20"/>
    </row>
    <row r="80" spans="1:4" ht="5.25" customHeight="1">
      <c r="A80" s="17"/>
      <c r="B80" s="23"/>
      <c r="C80" s="24"/>
      <c r="D80" s="20"/>
    </row>
    <row r="81" spans="1:4" ht="29">
      <c r="A81" s="17"/>
      <c r="B81" s="27" t="s">
        <v>30</v>
      </c>
      <c r="C81" s="28" t="s">
        <v>52</v>
      </c>
      <c r="D81" s="20"/>
    </row>
    <row r="82" spans="1:4" ht="5.25" customHeight="1">
      <c r="A82" s="17"/>
      <c r="B82" s="23"/>
      <c r="C82" s="24"/>
      <c r="D82" s="20"/>
    </row>
    <row r="83" spans="1:4" ht="29">
      <c r="A83" s="17"/>
      <c r="B83" s="27" t="s">
        <v>30</v>
      </c>
      <c r="C83" s="28" t="s">
        <v>53</v>
      </c>
      <c r="D83" s="20"/>
    </row>
    <row r="84" spans="1:4" ht="5.25" customHeight="1">
      <c r="A84" s="17"/>
      <c r="B84" s="23"/>
      <c r="C84" s="24"/>
      <c r="D84" s="20"/>
    </row>
    <row r="85" spans="1:4" ht="29">
      <c r="A85" s="17"/>
      <c r="B85" s="27" t="s">
        <v>30</v>
      </c>
      <c r="C85" s="28" t="s">
        <v>54</v>
      </c>
      <c r="D85" s="20"/>
    </row>
    <row r="86" spans="1:4" ht="5.25" customHeight="1">
      <c r="A86" s="17"/>
      <c r="B86" s="23"/>
      <c r="C86" s="24"/>
      <c r="D86" s="20"/>
    </row>
    <row r="87" spans="1:4">
      <c r="A87" s="17"/>
      <c r="B87" s="27"/>
      <c r="C87" s="28"/>
      <c r="D87" s="20"/>
    </row>
    <row r="88" spans="1:4" ht="17.25" customHeight="1">
      <c r="A88" s="17"/>
      <c r="B88" s="129" t="s">
        <v>55</v>
      </c>
      <c r="C88" s="130"/>
      <c r="D88" s="20"/>
    </row>
    <row r="89" spans="1:4">
      <c r="A89" s="17"/>
      <c r="B89" s="27" t="s">
        <v>30</v>
      </c>
      <c r="C89" s="28" t="s">
        <v>56</v>
      </c>
      <c r="D89" s="20"/>
    </row>
    <row r="90" spans="1:4" ht="5.25" customHeight="1">
      <c r="A90" s="17"/>
      <c r="B90" s="23"/>
      <c r="C90" s="24"/>
      <c r="D90" s="20"/>
    </row>
    <row r="91" spans="1:4">
      <c r="A91" s="17"/>
      <c r="B91" s="27" t="s">
        <v>30</v>
      </c>
      <c r="C91" s="28" t="s">
        <v>57</v>
      </c>
      <c r="D91" s="20"/>
    </row>
    <row r="92" spans="1:4" ht="5.25" customHeight="1">
      <c r="A92" s="17"/>
      <c r="B92" s="23"/>
      <c r="C92" s="24"/>
      <c r="D92" s="20"/>
    </row>
    <row r="93" spans="1:4">
      <c r="A93" s="17"/>
      <c r="B93" s="27" t="s">
        <v>30</v>
      </c>
      <c r="C93" s="28" t="s">
        <v>58</v>
      </c>
      <c r="D93" s="20"/>
    </row>
    <row r="94" spans="1:4" ht="5.25" customHeight="1">
      <c r="A94" s="17"/>
      <c r="B94" s="23"/>
      <c r="C94" s="24"/>
      <c r="D94" s="20"/>
    </row>
    <row r="95" spans="1:4">
      <c r="A95" s="17"/>
      <c r="B95" s="27" t="s">
        <v>30</v>
      </c>
      <c r="C95" s="28" t="s">
        <v>59</v>
      </c>
      <c r="D95" s="20"/>
    </row>
    <row r="96" spans="1:4">
      <c r="A96" s="17"/>
      <c r="B96" s="27"/>
      <c r="C96" s="28"/>
      <c r="D96" s="20"/>
    </row>
    <row r="97" spans="1:4" ht="17.25" customHeight="1">
      <c r="A97" s="17"/>
      <c r="B97" s="129" t="s">
        <v>60</v>
      </c>
      <c r="C97" s="130"/>
      <c r="D97" s="20"/>
    </row>
    <row r="98" spans="1:4">
      <c r="A98" s="17"/>
      <c r="B98" s="27" t="s">
        <v>30</v>
      </c>
      <c r="C98" s="28" t="s">
        <v>56</v>
      </c>
      <c r="D98" s="20"/>
    </row>
    <row r="99" spans="1:4" ht="5.25" customHeight="1">
      <c r="A99" s="17"/>
      <c r="B99" s="23"/>
      <c r="C99" s="24"/>
      <c r="D99" s="20"/>
    </row>
    <row r="100" spans="1:4">
      <c r="A100" s="17"/>
      <c r="B100" s="27" t="s">
        <v>30</v>
      </c>
      <c r="C100" s="28" t="s">
        <v>57</v>
      </c>
      <c r="D100" s="20"/>
    </row>
    <row r="101" spans="1:4" ht="5.25" customHeight="1">
      <c r="A101" s="17"/>
      <c r="B101" s="23"/>
      <c r="C101" s="24"/>
      <c r="D101" s="20"/>
    </row>
    <row r="102" spans="1:4">
      <c r="A102" s="17"/>
      <c r="B102" s="27" t="s">
        <v>30</v>
      </c>
      <c r="C102" s="28" t="s">
        <v>58</v>
      </c>
      <c r="D102" s="20"/>
    </row>
    <row r="103" spans="1:4" ht="5.25" customHeight="1">
      <c r="A103" s="17"/>
      <c r="B103" s="23"/>
      <c r="C103" s="24"/>
      <c r="D103" s="20"/>
    </row>
    <row r="104" spans="1:4">
      <c r="A104" s="17"/>
      <c r="B104" s="27" t="s">
        <v>30</v>
      </c>
      <c r="C104" s="28" t="s">
        <v>59</v>
      </c>
      <c r="D104" s="20"/>
    </row>
    <row r="105" spans="1:4">
      <c r="A105" s="17"/>
      <c r="B105" s="27"/>
      <c r="C105" s="28"/>
      <c r="D105" s="20"/>
    </row>
    <row r="106" spans="1:4" ht="17.25" customHeight="1">
      <c r="A106" s="17"/>
      <c r="B106" s="129" t="s">
        <v>61</v>
      </c>
      <c r="C106" s="130"/>
      <c r="D106" s="20"/>
    </row>
    <row r="107" spans="1:4">
      <c r="A107" s="17"/>
      <c r="B107" s="27" t="s">
        <v>30</v>
      </c>
      <c r="C107" s="28" t="s">
        <v>56</v>
      </c>
      <c r="D107" s="20"/>
    </row>
    <row r="108" spans="1:4" ht="5.25" customHeight="1">
      <c r="A108" s="17"/>
      <c r="B108" s="23"/>
      <c r="C108" s="24"/>
      <c r="D108" s="20"/>
    </row>
    <row r="109" spans="1:4">
      <c r="A109" s="17"/>
      <c r="B109" s="27" t="s">
        <v>30</v>
      </c>
      <c r="C109" s="28" t="s">
        <v>57</v>
      </c>
      <c r="D109" s="20"/>
    </row>
    <row r="110" spans="1:4" ht="5.25" customHeight="1">
      <c r="A110" s="17"/>
      <c r="B110" s="23"/>
      <c r="C110" s="24"/>
      <c r="D110" s="20"/>
    </row>
    <row r="111" spans="1:4">
      <c r="A111" s="17"/>
      <c r="B111" s="27" t="s">
        <v>30</v>
      </c>
      <c r="C111" s="28" t="s">
        <v>58</v>
      </c>
      <c r="D111" s="20"/>
    </row>
    <row r="112" spans="1:4" ht="5.25" customHeight="1">
      <c r="A112" s="17"/>
      <c r="B112" s="23"/>
      <c r="C112" s="24"/>
      <c r="D112" s="20"/>
    </row>
    <row r="113" spans="1:4">
      <c r="A113" s="17"/>
      <c r="B113" s="27" t="s">
        <v>30</v>
      </c>
      <c r="C113" s="28" t="s">
        <v>59</v>
      </c>
      <c r="D113" s="20"/>
    </row>
    <row r="114" spans="1:4">
      <c r="A114" s="17"/>
      <c r="B114" s="27"/>
      <c r="C114" s="28"/>
      <c r="D114" s="20"/>
    </row>
    <row r="115" spans="1:4" ht="17.25" customHeight="1">
      <c r="A115" s="17"/>
      <c r="B115" s="129" t="s">
        <v>62</v>
      </c>
      <c r="C115" s="130"/>
      <c r="D115" s="20"/>
    </row>
    <row r="116" spans="1:4">
      <c r="A116" s="17"/>
      <c r="B116" s="27" t="s">
        <v>30</v>
      </c>
      <c r="C116" s="28" t="s">
        <v>56</v>
      </c>
      <c r="D116" s="20"/>
    </row>
    <row r="117" spans="1:4" ht="5.25" customHeight="1">
      <c r="A117" s="17"/>
      <c r="B117" s="23"/>
      <c r="C117" s="24"/>
      <c r="D117" s="20"/>
    </row>
    <row r="118" spans="1:4">
      <c r="A118" s="17"/>
      <c r="B118" s="27" t="s">
        <v>30</v>
      </c>
      <c r="C118" s="28" t="s">
        <v>57</v>
      </c>
      <c r="D118" s="20"/>
    </row>
    <row r="119" spans="1:4" ht="5.25" customHeight="1">
      <c r="A119" s="17"/>
      <c r="B119" s="23"/>
      <c r="C119" s="24"/>
      <c r="D119" s="20"/>
    </row>
    <row r="120" spans="1:4">
      <c r="A120" s="17"/>
      <c r="B120" s="27" t="s">
        <v>30</v>
      </c>
      <c r="C120" s="28" t="s">
        <v>58</v>
      </c>
      <c r="D120" s="20"/>
    </row>
    <row r="121" spans="1:4" ht="5.25" customHeight="1">
      <c r="A121" s="17"/>
      <c r="B121" s="23"/>
      <c r="C121" s="24"/>
      <c r="D121" s="20"/>
    </row>
    <row r="122" spans="1:4">
      <c r="A122" s="17"/>
      <c r="B122" s="27" t="s">
        <v>30</v>
      </c>
      <c r="C122" s="28" t="s">
        <v>59</v>
      </c>
      <c r="D122" s="20"/>
    </row>
    <row r="123" spans="1:4">
      <c r="A123" s="17"/>
      <c r="B123" s="27"/>
      <c r="C123" s="28"/>
      <c r="D123" s="20"/>
    </row>
    <row r="124" spans="1:4">
      <c r="A124" s="17"/>
      <c r="B124" s="29" t="s">
        <v>63</v>
      </c>
      <c r="C124" s="30"/>
      <c r="D124" s="20"/>
    </row>
    <row r="125" spans="1:4" ht="47.25" customHeight="1">
      <c r="A125" s="17"/>
      <c r="B125" s="127" t="s">
        <v>64</v>
      </c>
      <c r="C125" s="128"/>
      <c r="D125" s="20"/>
    </row>
    <row r="126" spans="1:4" ht="15" thickBot="1">
      <c r="A126" s="17"/>
      <c r="B126" s="36"/>
      <c r="C126" s="37"/>
      <c r="D126" s="20"/>
    </row>
    <row r="127" spans="1:4" ht="10.4" customHeight="1" thickTop="1" thickBot="1">
      <c r="A127" s="38"/>
      <c r="B127" s="39"/>
      <c r="C127" s="39"/>
      <c r="D127" s="40"/>
    </row>
  </sheetData>
  <mergeCells count="13">
    <mergeCell ref="B28:C28"/>
    <mergeCell ref="B4:C4"/>
    <mergeCell ref="B10:C10"/>
    <mergeCell ref="B19:C19"/>
    <mergeCell ref="B21:C21"/>
    <mergeCell ref="B26:C26"/>
    <mergeCell ref="B125:C125"/>
    <mergeCell ref="B40:C40"/>
    <mergeCell ref="B42:C42"/>
    <mergeCell ref="B88:C88"/>
    <mergeCell ref="B97:C97"/>
    <mergeCell ref="B106:C106"/>
    <mergeCell ref="B115:C115"/>
  </mergeCells>
  <pageMargins left="0.70866141732283472" right="0.70866141732283472" top="0.74803149606299213" bottom="0.74803149606299213" header="0.31496062992125984" footer="0.31496062992125984"/>
  <pageSetup paperSize="8" scale="7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AF9D-1522-4439-9292-0B0DE921A1D5}">
  <sheetPr codeName="Sheet25"/>
  <dimension ref="A1:S50"/>
  <sheetViews>
    <sheetView topLeftCell="A2" workbookViewId="0">
      <selection activeCell="E4" sqref="E4"/>
    </sheetView>
  </sheetViews>
  <sheetFormatPr defaultColWidth="7.81640625" defaultRowHeight="14.5"/>
  <cols>
    <col min="1" max="1" width="68.7265625" style="1" customWidth="1"/>
    <col min="2" max="2" width="1.81640625" style="1" customWidth="1"/>
    <col min="3" max="12" width="15.54296875" style="1" customWidth="1"/>
    <col min="13" max="13" width="7.81640625" style="1"/>
    <col min="14" max="14" width="11.1796875" style="1" customWidth="1"/>
    <col min="15" max="16384" width="7.81640625" style="1"/>
  </cols>
  <sheetData>
    <row r="1" spans="1:19">
      <c r="A1" s="131" t="s">
        <v>65</v>
      </c>
      <c r="B1" s="132"/>
      <c r="C1" s="132"/>
      <c r="D1" s="132"/>
      <c r="E1" s="132"/>
    </row>
    <row r="2" spans="1:19" ht="15" thickBot="1">
      <c r="P2" s="108">
        <v>5033</v>
      </c>
    </row>
    <row r="3" spans="1:19" ht="29.9" customHeight="1" thickBot="1">
      <c r="A3" s="2" t="s">
        <v>66</v>
      </c>
      <c r="C3" s="3" t="s">
        <v>67</v>
      </c>
      <c r="D3" s="3" t="s">
        <v>68</v>
      </c>
      <c r="E3" s="3" t="s">
        <v>69</v>
      </c>
      <c r="F3" s="3" t="s">
        <v>70</v>
      </c>
    </row>
    <row r="4" spans="1:19" ht="31.4" customHeight="1" thickBot="1">
      <c r="A4" s="4" t="s">
        <v>71</v>
      </c>
      <c r="C4" s="8">
        <v>23264</v>
      </c>
      <c r="D4" s="8">
        <v>23014</v>
      </c>
      <c r="E4" s="8">
        <v>20876</v>
      </c>
      <c r="F4" s="8">
        <f>(C4+D4+E4)/3</f>
        <v>22384.666666666668</v>
      </c>
      <c r="S4" s="1" t="s">
        <v>72</v>
      </c>
    </row>
    <row r="5" spans="1:19" ht="15" thickBot="1">
      <c r="A5" s="4" t="s">
        <v>73</v>
      </c>
      <c r="C5" s="109">
        <v>7.2138398301320739E-3</v>
      </c>
      <c r="D5" s="109">
        <v>1.2749189318468468E-2</v>
      </c>
      <c r="E5" s="109">
        <v>1.5072139316223754E-2</v>
      </c>
      <c r="F5" s="109">
        <v>1.148403860836129E-2</v>
      </c>
      <c r="S5" s="1" t="s">
        <v>74</v>
      </c>
    </row>
    <row r="6" spans="1:19" ht="15" thickBot="1">
      <c r="A6" s="4" t="s">
        <v>75</v>
      </c>
      <c r="C6" s="6">
        <v>1</v>
      </c>
      <c r="D6" s="6">
        <v>1</v>
      </c>
      <c r="E6" s="6">
        <v>1</v>
      </c>
      <c r="F6" s="6">
        <f>AVERAGE(C6:E6)</f>
        <v>1</v>
      </c>
    </row>
    <row r="7" spans="1:19" ht="15" thickBot="1">
      <c r="A7" s="4" t="s">
        <v>76</v>
      </c>
      <c r="C7" s="8">
        <v>232318.44099999999</v>
      </c>
      <c r="D7" s="8">
        <v>291803.94500000001</v>
      </c>
      <c r="E7" s="8">
        <v>97427.714999999997</v>
      </c>
      <c r="F7" s="8">
        <f>SUM(C7:E7)</f>
        <v>621550.10100000002</v>
      </c>
      <c r="S7" s="1" t="s">
        <v>72</v>
      </c>
    </row>
    <row r="8" spans="1:19" ht="15" thickBot="1">
      <c r="A8" s="4" t="s">
        <v>77</v>
      </c>
      <c r="C8" s="8">
        <v>0</v>
      </c>
      <c r="D8" s="8">
        <v>0</v>
      </c>
      <c r="E8" s="8">
        <v>0</v>
      </c>
      <c r="F8" s="8">
        <f>SUM(C8:E8)</f>
        <v>0</v>
      </c>
      <c r="S8" s="1" t="s">
        <v>72</v>
      </c>
    </row>
    <row r="9" spans="1:19" ht="15" thickBot="1">
      <c r="A9" s="4" t="s">
        <v>78</v>
      </c>
      <c r="C9" s="8">
        <v>711</v>
      </c>
      <c r="D9" s="8">
        <v>-16727</v>
      </c>
      <c r="E9" s="8">
        <v>748</v>
      </c>
      <c r="F9" s="8">
        <f>SUM(C9:E9)</f>
        <v>-15268</v>
      </c>
      <c r="S9" s="1" t="s">
        <v>72</v>
      </c>
    </row>
    <row r="10" spans="1:19" ht="15" thickBot="1">
      <c r="A10" s="4" t="s">
        <v>79</v>
      </c>
      <c r="C10" s="8">
        <v>33637.040000000001</v>
      </c>
      <c r="D10" s="8">
        <v>79408.2</v>
      </c>
      <c r="E10" s="8">
        <v>1390.08</v>
      </c>
      <c r="F10" s="8">
        <f>SUM(C10:E10)</f>
        <v>114435.31999999999</v>
      </c>
      <c r="S10" s="1" t="s">
        <v>72</v>
      </c>
    </row>
    <row r="11" spans="1:19" ht="15" thickBot="1">
      <c r="A11" s="4" t="s">
        <v>80</v>
      </c>
      <c r="C11" s="110">
        <v>5</v>
      </c>
      <c r="D11" s="110">
        <v>5</v>
      </c>
      <c r="E11" s="110">
        <v>5</v>
      </c>
      <c r="F11" s="110">
        <v>5</v>
      </c>
    </row>
    <row r="12" spans="1:19" ht="15" thickBot="1">
      <c r="A12" s="4" t="s">
        <v>81</v>
      </c>
      <c r="C12" s="8"/>
      <c r="D12" s="8"/>
      <c r="E12" s="8"/>
      <c r="F12" s="8">
        <f>SUM(C12:E12)</f>
        <v>0</v>
      </c>
      <c r="S12" s="1" t="s">
        <v>72</v>
      </c>
    </row>
    <row r="13" spans="1:19" ht="15" thickBot="1">
      <c r="A13" s="4" t="s">
        <v>82</v>
      </c>
      <c r="C13" s="8">
        <v>407358.92499999999</v>
      </c>
      <c r="D13" s="8">
        <v>453319.40599999996</v>
      </c>
      <c r="E13" s="8">
        <v>146742.88</v>
      </c>
      <c r="F13" s="8">
        <f>SUM(C13:E13)</f>
        <v>1007421.211</v>
      </c>
      <c r="S13" s="1" t="s">
        <v>72</v>
      </c>
    </row>
    <row r="14" spans="1:19" ht="15" thickBot="1">
      <c r="A14" s="4" t="s">
        <v>83</v>
      </c>
      <c r="C14" s="7">
        <v>0.5</v>
      </c>
      <c r="D14" s="7">
        <v>0.5</v>
      </c>
      <c r="E14" s="7">
        <v>0.5</v>
      </c>
      <c r="F14" s="7">
        <v>0.5</v>
      </c>
    </row>
    <row r="15" spans="1:19" ht="15" thickBot="1">
      <c r="A15" s="4" t="s">
        <v>84</v>
      </c>
      <c r="C15" s="7">
        <v>0.09</v>
      </c>
      <c r="D15" s="7">
        <v>0.09</v>
      </c>
      <c r="E15" s="7">
        <v>0.09</v>
      </c>
      <c r="F15" s="7">
        <v>0.09</v>
      </c>
    </row>
    <row r="16" spans="1:19" ht="15" thickBot="1"/>
    <row r="17" spans="1:19" ht="15" thickBot="1">
      <c r="A17" s="2" t="s">
        <v>85</v>
      </c>
      <c r="C17" s="3" t="s">
        <v>86</v>
      </c>
      <c r="D17" s="3" t="s">
        <v>87</v>
      </c>
      <c r="E17" s="3" t="s">
        <v>88</v>
      </c>
      <c r="F17" s="3" t="s">
        <v>89</v>
      </c>
      <c r="G17" s="3" t="s">
        <v>90</v>
      </c>
      <c r="H17" s="3" t="s">
        <v>91</v>
      </c>
      <c r="I17" s="3" t="s">
        <v>92</v>
      </c>
      <c r="J17" s="3" t="s">
        <v>93</v>
      </c>
      <c r="K17" s="3" t="s">
        <v>94</v>
      </c>
      <c r="L17" s="3" t="s">
        <v>95</v>
      </c>
      <c r="N17" s="3" t="s">
        <v>96</v>
      </c>
    </row>
    <row r="18" spans="1:19" ht="15" thickBot="1">
      <c r="A18" s="4" t="s">
        <v>97</v>
      </c>
      <c r="C18" s="8">
        <v>7531.1767099999997</v>
      </c>
      <c r="D18" s="8">
        <v>7722.27466</v>
      </c>
      <c r="E18" s="8">
        <v>8659.9561699999995</v>
      </c>
      <c r="F18" s="8">
        <v>8939.5127200000006</v>
      </c>
      <c r="G18" s="8">
        <v>9651.1843700000009</v>
      </c>
      <c r="H18" s="8">
        <v>10258.200929999999</v>
      </c>
      <c r="I18" s="8">
        <v>10788.642095301435</v>
      </c>
      <c r="J18" s="8">
        <v>11195.868213458481</v>
      </c>
      <c r="K18" s="8">
        <v>11940.150545710467</v>
      </c>
      <c r="L18" s="8">
        <v>12112.855832407244</v>
      </c>
      <c r="N18" s="8">
        <v>0</v>
      </c>
      <c r="S18" s="1" t="s">
        <v>98</v>
      </c>
    </row>
    <row r="19" spans="1:19" ht="15" thickBot="1">
      <c r="A19" s="4" t="s">
        <v>99</v>
      </c>
      <c r="C19" s="8">
        <v>7463.2271799999999</v>
      </c>
      <c r="D19" s="8">
        <v>7990.0086899999997</v>
      </c>
      <c r="E19" s="8">
        <v>9045.1844099999998</v>
      </c>
      <c r="F19" s="8">
        <v>9516.2713599999988</v>
      </c>
      <c r="G19" s="8">
        <v>10322.86347</v>
      </c>
      <c r="H19" s="8">
        <v>11317.164989999999</v>
      </c>
      <c r="I19" s="8">
        <v>12014.97401119725</v>
      </c>
      <c r="J19" s="8">
        <v>12561.963811080797</v>
      </c>
      <c r="K19" s="8">
        <v>13116.895063166219</v>
      </c>
      <c r="L19" s="8">
        <v>13325.331973085804</v>
      </c>
      <c r="N19" s="8">
        <v>0</v>
      </c>
      <c r="S19" s="1" t="s">
        <v>98</v>
      </c>
    </row>
    <row r="20" spans="1:19" ht="15" thickBot="1">
      <c r="A20" s="4" t="s">
        <v>100</v>
      </c>
      <c r="C20" s="8">
        <v>1568.3241399999999</v>
      </c>
      <c r="D20" s="8">
        <v>1453.62922</v>
      </c>
      <c r="E20" s="8">
        <v>1592.6920200000002</v>
      </c>
      <c r="F20" s="8">
        <v>1661.9798800000001</v>
      </c>
      <c r="G20" s="8">
        <v>1758.0416200000002</v>
      </c>
      <c r="H20" s="8">
        <v>1872.3243199999999</v>
      </c>
      <c r="I20" s="8">
        <v>1948.9255002849188</v>
      </c>
      <c r="J20" s="8">
        <v>2040.4069093495693</v>
      </c>
      <c r="K20" s="8">
        <v>2219.136827808235</v>
      </c>
      <c r="L20" s="8">
        <v>2290.8291266886149</v>
      </c>
      <c r="N20" s="8">
        <v>0</v>
      </c>
      <c r="S20" s="1" t="s">
        <v>98</v>
      </c>
    </row>
    <row r="21" spans="1:19" ht="15" thickBot="1"/>
    <row r="22" spans="1:19" ht="15" thickBot="1">
      <c r="A22" s="2" t="s">
        <v>101</v>
      </c>
      <c r="C22" s="3" t="s">
        <v>86</v>
      </c>
      <c r="D22" s="3" t="s">
        <v>87</v>
      </c>
      <c r="E22" s="3" t="s">
        <v>88</v>
      </c>
      <c r="F22" s="3" t="s">
        <v>89</v>
      </c>
      <c r="G22" s="3" t="s">
        <v>90</v>
      </c>
      <c r="H22" s="3" t="s">
        <v>91</v>
      </c>
      <c r="I22" s="3" t="s">
        <v>92</v>
      </c>
      <c r="J22" s="3" t="s">
        <v>93</v>
      </c>
      <c r="K22" s="3" t="s">
        <v>94</v>
      </c>
      <c r="L22" s="3" t="s">
        <v>95</v>
      </c>
      <c r="N22" s="3" t="s">
        <v>96</v>
      </c>
    </row>
    <row r="23" spans="1:19" ht="15" thickBot="1">
      <c r="A23" s="4" t="s">
        <v>102</v>
      </c>
      <c r="C23" s="8">
        <v>3788.3704880000032</v>
      </c>
      <c r="D23" s="5">
        <v>5124.8397822479992</v>
      </c>
      <c r="E23" s="8">
        <v>7926.4980756829646</v>
      </c>
      <c r="F23" s="8">
        <v>5927.9579763994843</v>
      </c>
      <c r="G23" s="8">
        <v>10157.082769229872</v>
      </c>
      <c r="H23" s="8">
        <v>7009.1967576288953</v>
      </c>
      <c r="I23" s="8">
        <v>10779.285526054835</v>
      </c>
      <c r="J23" s="8">
        <v>7385.4131357463993</v>
      </c>
      <c r="K23" s="8">
        <v>12044.620815171929</v>
      </c>
      <c r="L23" s="8">
        <v>7822.0131975781096</v>
      </c>
      <c r="N23" s="8">
        <v>0</v>
      </c>
      <c r="S23" s="1" t="s">
        <v>98</v>
      </c>
    </row>
    <row r="24" spans="1:19" ht="15" thickBot="1">
      <c r="A24" s="4" t="s">
        <v>103</v>
      </c>
      <c r="C24" s="8">
        <v>3298.4613480000035</v>
      </c>
      <c r="D24" s="8">
        <v>8845.5267335519984</v>
      </c>
      <c r="E24" s="8">
        <v>6309.9204740855203</v>
      </c>
      <c r="F24" s="8">
        <v>9293.0900619841523</v>
      </c>
      <c r="G24" s="8">
        <v>9087.4629380743136</v>
      </c>
      <c r="H24" s="8">
        <v>9773.8939642585647</v>
      </c>
      <c r="I24" s="8">
        <v>10560.79559148129</v>
      </c>
      <c r="J24" s="8">
        <v>10029.986516837791</v>
      </c>
      <c r="K24" s="8">
        <v>11589.840154236295</v>
      </c>
      <c r="L24" s="8">
        <v>10588.302514672492</v>
      </c>
      <c r="N24" s="8">
        <v>0</v>
      </c>
      <c r="S24" s="1" t="s">
        <v>98</v>
      </c>
    </row>
    <row r="25" spans="1:19" ht="15" thickBot="1">
      <c r="A25" s="4" t="s">
        <v>104</v>
      </c>
      <c r="C25" s="5">
        <v>1474.5260600000015</v>
      </c>
      <c r="D25" s="5">
        <v>2248.2377997119997</v>
      </c>
      <c r="E25" s="5">
        <v>2528.4315696236872</v>
      </c>
      <c r="F25" s="5">
        <v>2464.1427212657086</v>
      </c>
      <c r="G25" s="5">
        <v>2951.6328851434446</v>
      </c>
      <c r="H25" s="5">
        <v>2630.8444386404872</v>
      </c>
      <c r="I25" s="5">
        <v>3076.0073199870676</v>
      </c>
      <c r="J25" s="5">
        <v>2723.2754098408213</v>
      </c>
      <c r="K25" s="5">
        <v>3439.2085363612232</v>
      </c>
      <c r="L25" s="5">
        <v>2812.9974482338762</v>
      </c>
      <c r="N25" s="8">
        <v>0</v>
      </c>
      <c r="S25" s="1" t="s">
        <v>98</v>
      </c>
    </row>
    <row r="26" spans="1:19" ht="15" thickBot="1"/>
    <row r="27" spans="1:19" ht="15" thickBot="1">
      <c r="A27" s="2" t="s">
        <v>105</v>
      </c>
      <c r="C27" s="3" t="s">
        <v>86</v>
      </c>
      <c r="D27" s="3" t="s">
        <v>87</v>
      </c>
      <c r="E27" s="3" t="s">
        <v>88</v>
      </c>
      <c r="F27" s="3" t="s">
        <v>89</v>
      </c>
      <c r="G27" s="3" t="s">
        <v>90</v>
      </c>
      <c r="H27" s="3" t="s">
        <v>91</v>
      </c>
      <c r="I27" s="3" t="s">
        <v>92</v>
      </c>
      <c r="J27" s="3" t="s">
        <v>93</v>
      </c>
      <c r="K27" s="3" t="s">
        <v>94</v>
      </c>
      <c r="L27" s="3" t="s">
        <v>95</v>
      </c>
    </row>
    <row r="28" spans="1:19" ht="15" thickBot="1">
      <c r="A28" s="4" t="s">
        <v>106</v>
      </c>
      <c r="C28" s="8">
        <f>$C$13+C23/$N39+SUM('5. Financials - drinking water'!E$28:E$30)</f>
        <v>441186.04212368047</v>
      </c>
      <c r="D28" s="8">
        <f>C28+D23/C39+SUM('5. Financials - drinking water'!F$28:F$30)</f>
        <v>480029.77902548847</v>
      </c>
      <c r="E28" s="8">
        <f>D28+E23/D39+SUM('5. Financials - drinking water'!G$28:G$30)</f>
        <v>519550.42634728376</v>
      </c>
      <c r="F28" s="8">
        <f>E28+F23/E39+SUM('5. Financials - drinking water'!H$28:H$30)</f>
        <v>559493.45843217045</v>
      </c>
      <c r="G28" s="8">
        <f>F28+G23/F39+SUM('5. Financials - drinking water'!I$28:I$30)</f>
        <v>597030.77595191204</v>
      </c>
      <c r="H28" s="8">
        <f>G28+H23/G39+SUM('5. Financials - drinking water'!J$28:J$30)</f>
        <v>627808.60120420787</v>
      </c>
      <c r="I28" s="8">
        <f>H28+I23/H39+SUM('5. Financials - drinking water'!K$28:K$30)</f>
        <v>668501.99043435161</v>
      </c>
      <c r="J28" s="8">
        <f>I28+J23/I39+SUM('5. Financials - drinking water'!L$28:L$30)</f>
        <v>697253.22248653357</v>
      </c>
      <c r="K28" s="8">
        <f>J28+K23/J39+SUM('5. Financials - drinking water'!M$28:M$30)</f>
        <v>736450.62061759841</v>
      </c>
      <c r="L28" s="8">
        <f>K28+L23/K39+SUM('5. Financials - drinking water'!N$28:N$30)</f>
        <v>764580.85268358502</v>
      </c>
    </row>
    <row r="29" spans="1:19" ht="15" thickBot="1">
      <c r="A29" s="4" t="s">
        <v>107</v>
      </c>
      <c r="C29" s="8">
        <f>$D$13+C24/$N40+SUM('6. Financials - wastewater'!E$28:E$30)</f>
        <v>471582.21981651511</v>
      </c>
      <c r="D29" s="8">
        <f>C29+D24/C40+SUM('6. Financials - wastewater'!F$28:F$30)</f>
        <v>505606.79948526382</v>
      </c>
      <c r="E29" s="8">
        <f>D29+E24/D40+SUM('6. Financials - wastewater'!G$28:G$30)</f>
        <v>542661.27924699103</v>
      </c>
      <c r="F29" s="8">
        <f>E29+F24/E40+SUM('6. Financials - wastewater'!H$28:H$30)</f>
        <v>588374.64561562077</v>
      </c>
      <c r="G29" s="8">
        <f>F29+G24/F40+SUM('6. Financials - wastewater'!I$28:I$30)</f>
        <v>632180.95542229188</v>
      </c>
      <c r="H29" s="8">
        <f>G29+H24/G40+SUM('6. Financials - wastewater'!J$28:J$30)</f>
        <v>666966.09074935701</v>
      </c>
      <c r="I29" s="8">
        <f>H29+I24/H40+SUM('6. Financials - wastewater'!K$28:K$30)</f>
        <v>701627.17605123681</v>
      </c>
      <c r="J29" s="8">
        <f>I29+J24/I40+SUM('6. Financials - wastewater'!L$28:L$30)</f>
        <v>736947.46256344439</v>
      </c>
      <c r="K29" s="8">
        <f>J29+K24/J40+SUM('6. Financials - wastewater'!M$28:M$30)</f>
        <v>770049.87497849611</v>
      </c>
      <c r="L29" s="8">
        <f>K29+L24/K40+SUM('6. Financials - wastewater'!N$28:N$30)</f>
        <v>804170.85343458841</v>
      </c>
    </row>
    <row r="30" spans="1:19" ht="15" thickBot="1">
      <c r="A30" s="4" t="s">
        <v>108</v>
      </c>
      <c r="C30" s="5">
        <f>$E$13+C25/$N41+SUM('7. Financials - stormwater'!E$28:E$30)</f>
        <v>150165.11589728657</v>
      </c>
      <c r="D30" s="8">
        <f>C30+D25/C41+SUM('7. Financials - stormwater'!F$28:F$30)</f>
        <v>156655.41873551437</v>
      </c>
      <c r="E30" s="8">
        <f>D30+E25/D41+SUM('7. Financials - stormwater'!G$28:G$30)</f>
        <v>164742.30442457774</v>
      </c>
      <c r="F30" s="8">
        <f>E30+F25/E41+SUM('7. Financials - stormwater'!H$28:H$30)</f>
        <v>171173.81307577129</v>
      </c>
      <c r="G30" s="8">
        <f>F30+G25/F41+SUM('7. Financials - stormwater'!I$28:I$30)</f>
        <v>178550.1813178632</v>
      </c>
      <c r="H30" s="8">
        <f>G30+H25/G41+SUM('7. Financials - stormwater'!J$28:J$30)</f>
        <v>186122.82659878297</v>
      </c>
      <c r="I30" s="8">
        <f>H30+I25/H41+SUM('7. Financials - stormwater'!K$28:K$30)</f>
        <v>194946.93398144402</v>
      </c>
      <c r="J30" s="8">
        <f>I30+J25/I41+SUM('7. Financials - stormwater'!L$28:L$30)</f>
        <v>203293.09821499023</v>
      </c>
      <c r="K30" s="8">
        <f>J30+K25/J41+SUM('7. Financials - stormwater'!M$28:M$30)</f>
        <v>212426.24730657061</v>
      </c>
      <c r="L30" s="8">
        <f>K30+L25/K41+SUM('7. Financials - stormwater'!N$28:N$30)</f>
        <v>220040.95592310047</v>
      </c>
    </row>
    <row r="31" spans="1:19" ht="15" thickBot="1">
      <c r="A31" s="9" t="s">
        <v>109</v>
      </c>
      <c r="C31" s="10">
        <f t="shared" ref="C31:L31" si="0">SUM(C28:C30)</f>
        <v>1062933.3778374821</v>
      </c>
      <c r="D31" s="10">
        <f t="shared" si="0"/>
        <v>1142291.9972462666</v>
      </c>
      <c r="E31" s="10">
        <f t="shared" si="0"/>
        <v>1226954.0100188525</v>
      </c>
      <c r="F31" s="10">
        <f t="shared" si="0"/>
        <v>1319041.9171235624</v>
      </c>
      <c r="G31" s="10">
        <f t="shared" si="0"/>
        <v>1407761.9126920672</v>
      </c>
      <c r="H31" s="10">
        <f t="shared" si="0"/>
        <v>1480897.518552348</v>
      </c>
      <c r="I31" s="10">
        <f t="shared" si="0"/>
        <v>1565076.1004670325</v>
      </c>
      <c r="J31" s="10">
        <f t="shared" si="0"/>
        <v>1637493.7832649683</v>
      </c>
      <c r="K31" s="10">
        <f t="shared" si="0"/>
        <v>1718926.7429026652</v>
      </c>
      <c r="L31" s="10">
        <f t="shared" si="0"/>
        <v>1788792.6620412739</v>
      </c>
    </row>
    <row r="32" spans="1:19" ht="15" thickBot="1"/>
    <row r="33" spans="1:19" ht="15" thickBot="1">
      <c r="A33" s="2" t="s">
        <v>110</v>
      </c>
      <c r="C33" s="3" t="s">
        <v>86</v>
      </c>
      <c r="D33" s="3" t="s">
        <v>87</v>
      </c>
      <c r="E33" s="3" t="s">
        <v>88</v>
      </c>
      <c r="F33" s="3" t="s">
        <v>89</v>
      </c>
      <c r="G33" s="3" t="s">
        <v>90</v>
      </c>
      <c r="H33" s="3" t="s">
        <v>91</v>
      </c>
      <c r="I33" s="3" t="s">
        <v>92</v>
      </c>
      <c r="J33" s="3" t="s">
        <v>93</v>
      </c>
      <c r="K33" s="3" t="s">
        <v>94</v>
      </c>
      <c r="L33" s="3" t="s">
        <v>95</v>
      </c>
    </row>
    <row r="34" spans="1:19" ht="15" thickBot="1">
      <c r="A34" s="4" t="s">
        <v>111</v>
      </c>
      <c r="C34" s="8">
        <f>'5. Financials - drinking water'!E$82</f>
        <v>255760.03114800001</v>
      </c>
      <c r="D34" s="8">
        <f>'5. Financials - drinking water'!F$82</f>
        <v>283165.98478024802</v>
      </c>
      <c r="E34" s="8">
        <f>'5. Financials - drinking water'!G$82</f>
        <v>308515.98407593096</v>
      </c>
      <c r="F34" s="8">
        <f>'5. Financials - drinking water'!H$82</f>
        <v>335464.59747183044</v>
      </c>
      <c r="G34" s="8">
        <f>'5. Financials - drinking water'!I$82</f>
        <v>356567.66110956034</v>
      </c>
      <c r="H34" s="8">
        <f>'5. Financials - drinking water'!J$82</f>
        <v>372360.40335949545</v>
      </c>
      <c r="I34" s="8">
        <f>'5. Financials - drinking water'!K$82</f>
        <v>394870.30121165002</v>
      </c>
      <c r="J34" s="8">
        <f>'5. Financials - drinking water'!L$82</f>
        <v>407307.82492479094</v>
      </c>
      <c r="K34" s="8">
        <f>'5. Financials - drinking water'!M$82</f>
        <v>425991.01093551115</v>
      </c>
      <c r="L34" s="8">
        <f>'5. Financials - drinking water'!N$82</f>
        <v>436307.75240941509</v>
      </c>
    </row>
    <row r="35" spans="1:19" ht="15" thickBot="1">
      <c r="A35" s="4" t="s">
        <v>112</v>
      </c>
      <c r="C35" s="8">
        <f>'6. Financials - wastewater'!E$82</f>
        <v>300777.81092800002</v>
      </c>
      <c r="D35" s="8">
        <f>'6. Financials - wastewater'!F$82</f>
        <v>321789.22225155204</v>
      </c>
      <c r="E35" s="8">
        <f>'6. Financials - wastewater'!G$82</f>
        <v>346194.06408563757</v>
      </c>
      <c r="F35" s="8">
        <f>'6. Financials - wastewater'!H$82</f>
        <v>377117.27454762172</v>
      </c>
      <c r="G35" s="8">
        <f>'6. Financials - wastewater'!I$82</f>
        <v>405510.01393569604</v>
      </c>
      <c r="H35" s="8">
        <f>'6. Financials - wastewater'!J$82</f>
        <v>423514.598238551</v>
      </c>
      <c r="I35" s="8">
        <f>'6. Financials - wastewater'!K$82</f>
        <v>440089.98266517505</v>
      </c>
      <c r="J35" s="8">
        <f>'6. Financials - wastewater'!L$82</f>
        <v>456887.67316234292</v>
      </c>
      <c r="K35" s="8">
        <f>'6. Financials - wastewater'!M$82</f>
        <v>469768.93188907939</v>
      </c>
      <c r="L35" s="8">
        <f>'6. Financials - wastewater'!N$82</f>
        <v>483796.43078080873</v>
      </c>
    </row>
    <row r="36" spans="1:19" ht="15" thickBot="1">
      <c r="A36" s="4" t="s">
        <v>113</v>
      </c>
      <c r="C36" s="5">
        <f>'7. Financials - stormwater'!E$82</f>
        <v>98535.263200000001</v>
      </c>
      <c r="D36" s="8">
        <f>'7. Financials - stormwater'!F$82</f>
        <v>102393.92010971201</v>
      </c>
      <c r="E36" s="8">
        <f>'7. Financials - stormwater'!G$82</f>
        <v>107548.2247893357</v>
      </c>
      <c r="F36" s="8">
        <f>'7. Financials - stormwater'!H$82</f>
        <v>111007.32398060142</v>
      </c>
      <c r="G36" s="8">
        <f>'7. Financials - stormwater'!I$82</f>
        <v>115025.85176574485</v>
      </c>
      <c r="H36" s="8">
        <f>'7. Financials - stormwater'!J$82</f>
        <v>119273.25908546934</v>
      </c>
      <c r="I36" s="8">
        <f>'7. Financials - stormwater'!K$82</f>
        <v>124424.41866321831</v>
      </c>
      <c r="J36" s="8">
        <f>'7. Financials - stormwater'!L$82</f>
        <v>129186.65073835533</v>
      </c>
      <c r="K36" s="8">
        <f>'7. Financials - stormwater'!M$82</f>
        <v>134127.80028524168</v>
      </c>
      <c r="L36" s="8">
        <f>'7. Financials - stormwater'!N$82</f>
        <v>137809.56433590272</v>
      </c>
    </row>
    <row r="37" spans="1:19" ht="15" thickBot="1">
      <c r="A37" s="9" t="s">
        <v>109</v>
      </c>
      <c r="C37" s="10">
        <f t="shared" ref="C37:L37" si="1">SUM(C34:C36)</f>
        <v>655073.1052760001</v>
      </c>
      <c r="D37" s="10">
        <f t="shared" si="1"/>
        <v>707349.12714151212</v>
      </c>
      <c r="E37" s="10">
        <f t="shared" si="1"/>
        <v>762258.27295090433</v>
      </c>
      <c r="F37" s="10">
        <f t="shared" si="1"/>
        <v>823589.19600005355</v>
      </c>
      <c r="G37" s="10">
        <f t="shared" si="1"/>
        <v>877103.52681100124</v>
      </c>
      <c r="H37" s="10">
        <f t="shared" si="1"/>
        <v>915148.26068351569</v>
      </c>
      <c r="I37" s="10">
        <f t="shared" si="1"/>
        <v>959384.70254004339</v>
      </c>
      <c r="J37" s="10">
        <f t="shared" si="1"/>
        <v>993382.14882548922</v>
      </c>
      <c r="K37" s="10">
        <f t="shared" si="1"/>
        <v>1029887.7431098322</v>
      </c>
      <c r="L37" s="10">
        <f t="shared" si="1"/>
        <v>1057913.7475261264</v>
      </c>
    </row>
    <row r="38" spans="1:19" ht="15" thickBot="1">
      <c r="N38" s="3" t="s">
        <v>96</v>
      </c>
    </row>
    <row r="39" spans="1:19" ht="15" thickBot="1">
      <c r="A39" s="4" t="s">
        <v>114</v>
      </c>
      <c r="C39" s="111">
        <f>C34/C28</f>
        <v>0.57971016017841559</v>
      </c>
      <c r="D39" s="111">
        <f>D34/D28</f>
        <v>0.58989253824024235</v>
      </c>
      <c r="E39" s="111">
        <f t="shared" ref="E39:L39" si="2">E34/E28</f>
        <v>0.59381335945571767</v>
      </c>
      <c r="F39" s="111">
        <f t="shared" si="2"/>
        <v>0.59958627293316269</v>
      </c>
      <c r="G39" s="111">
        <f t="shared" si="2"/>
        <v>0.59723497593745511</v>
      </c>
      <c r="H39" s="111">
        <f t="shared" si="2"/>
        <v>0.59311134419832112</v>
      </c>
      <c r="I39" s="111">
        <f t="shared" si="2"/>
        <v>0.59067932012451829</v>
      </c>
      <c r="J39" s="111">
        <f t="shared" si="2"/>
        <v>0.58416054854828225</v>
      </c>
      <c r="K39" s="111">
        <f t="shared" si="2"/>
        <v>0.5784379821396155</v>
      </c>
      <c r="L39" s="111">
        <f t="shared" si="2"/>
        <v>0.57064959301299323</v>
      </c>
      <c r="N39" s="111">
        <f>($C$7-$C$8)/$C$13</f>
        <v>0.5703040408406419</v>
      </c>
    </row>
    <row r="40" spans="1:19" ht="15" thickBot="1">
      <c r="A40" s="4" t="s">
        <v>115</v>
      </c>
      <c r="C40" s="111">
        <f t="shared" ref="C40:L41" si="3">C35/C29</f>
        <v>0.6378056641851928</v>
      </c>
      <c r="D40" s="111">
        <f t="shared" si="3"/>
        <v>0.63644164314869101</v>
      </c>
      <c r="E40" s="111">
        <f t="shared" si="3"/>
        <v>0.63795608296583128</v>
      </c>
      <c r="F40" s="111">
        <f t="shared" si="3"/>
        <v>0.64094752783414233</v>
      </c>
      <c r="G40" s="111">
        <f t="shared" si="3"/>
        <v>0.64144610883575026</v>
      </c>
      <c r="H40" s="111">
        <f t="shared" si="3"/>
        <v>0.63498670189172479</v>
      </c>
      <c r="I40" s="111">
        <f t="shared" si="3"/>
        <v>0.62724192803078826</v>
      </c>
      <c r="J40" s="111">
        <f t="shared" si="3"/>
        <v>0.61997319533888628</v>
      </c>
      <c r="K40" s="111">
        <f t="shared" si="3"/>
        <v>0.61005000734815762</v>
      </c>
      <c r="L40" s="111">
        <f t="shared" si="3"/>
        <v>0.6016090097204212</v>
      </c>
      <c r="N40" s="111">
        <f>($D$7-$D$8)/$D$13</f>
        <v>0.64370494873541773</v>
      </c>
    </row>
    <row r="41" spans="1:19" ht="15" thickBot="1">
      <c r="A41" s="4" t="s">
        <v>116</v>
      </c>
      <c r="C41" s="111">
        <f t="shared" si="3"/>
        <v>0.65617945027524527</v>
      </c>
      <c r="D41" s="111">
        <f t="shared" si="3"/>
        <v>0.65362514068272648</v>
      </c>
      <c r="E41" s="111">
        <f t="shared" si="3"/>
        <v>0.6528270025418601</v>
      </c>
      <c r="F41" s="111">
        <f t="shared" si="3"/>
        <v>0.64850646244272914</v>
      </c>
      <c r="G41" s="111">
        <f t="shared" si="3"/>
        <v>0.64422142232928103</v>
      </c>
      <c r="H41" s="111">
        <f t="shared" si="3"/>
        <v>0.64083090325391212</v>
      </c>
      <c r="I41" s="111">
        <f t="shared" si="3"/>
        <v>0.63824763037853993</v>
      </c>
      <c r="J41" s="111">
        <f t="shared" si="3"/>
        <v>0.63546992924341927</v>
      </c>
      <c r="K41" s="111">
        <f t="shared" si="3"/>
        <v>0.63140879239687508</v>
      </c>
      <c r="L41" s="111">
        <f t="shared" si="3"/>
        <v>0.62629051831634541</v>
      </c>
      <c r="N41" s="111">
        <f>($E$7-$E$8)/$E$13</f>
        <v>0.66393487029830678</v>
      </c>
    </row>
    <row r="43" spans="1:19" ht="15" thickBot="1"/>
    <row r="44" spans="1:19" ht="15" thickBot="1">
      <c r="A44" s="2" t="s">
        <v>117</v>
      </c>
      <c r="C44" s="3" t="s">
        <v>86</v>
      </c>
      <c r="D44" s="3" t="s">
        <v>87</v>
      </c>
      <c r="E44" s="3" t="s">
        <v>88</v>
      </c>
      <c r="F44" s="3" t="s">
        <v>89</v>
      </c>
      <c r="G44" s="3" t="s">
        <v>90</v>
      </c>
      <c r="H44" s="3" t="s">
        <v>91</v>
      </c>
      <c r="I44" s="3" t="s">
        <v>92</v>
      </c>
      <c r="J44" s="3" t="s">
        <v>93</v>
      </c>
      <c r="K44" s="3" t="s">
        <v>94</v>
      </c>
      <c r="L44" s="3" t="s">
        <v>95</v>
      </c>
    </row>
    <row r="45" spans="1:19" ht="15" thickBot="1">
      <c r="A45" s="4" t="s">
        <v>118</v>
      </c>
      <c r="C45" s="5">
        <v>22866</v>
      </c>
      <c r="D45" s="8">
        <v>23120.047999999999</v>
      </c>
      <c r="E45" s="8">
        <v>23356.418558999998</v>
      </c>
      <c r="F45" s="5">
        <v>23595.341804697</v>
      </c>
      <c r="G45" s="8">
        <v>23836.386562917949</v>
      </c>
      <c r="H45" s="8">
        <v>24080.576945342418</v>
      </c>
      <c r="I45" s="8">
        <v>24325.937353113906</v>
      </c>
      <c r="J45" s="8">
        <v>24575.492480498902</v>
      </c>
      <c r="K45" s="8">
        <v>24827.267318594259</v>
      </c>
      <c r="L45" s="8">
        <v>25081.287159083651</v>
      </c>
      <c r="S45" s="1" t="s">
        <v>98</v>
      </c>
    </row>
    <row r="46" spans="1:19" ht="15" thickBot="1">
      <c r="A46" s="4" t="s">
        <v>119</v>
      </c>
      <c r="C46" s="5">
        <v>23657</v>
      </c>
      <c r="D46" s="8">
        <v>23915.952000000001</v>
      </c>
      <c r="E46" s="8">
        <v>24155.931415999996</v>
      </c>
      <c r="F46" s="5">
        <v>24402.326847927998</v>
      </c>
      <c r="G46" s="8">
        <v>24650.882427520424</v>
      </c>
      <c r="H46" s="8">
        <v>24902.622574366724</v>
      </c>
      <c r="I46" s="8">
        <v>25156.571999525633</v>
      </c>
      <c r="J46" s="8">
        <v>25412.755709188987</v>
      </c>
      <c r="K46" s="8">
        <v>25672.19900839372</v>
      </c>
      <c r="L46" s="8">
        <v>25934.92750478271</v>
      </c>
      <c r="S46" s="1" t="s">
        <v>98</v>
      </c>
    </row>
    <row r="47" spans="1:19" ht="15" thickBot="1">
      <c r="A47" s="4" t="s">
        <v>120</v>
      </c>
      <c r="C47" s="5">
        <v>21905</v>
      </c>
      <c r="D47" s="5">
        <v>22132.008000000002</v>
      </c>
      <c r="E47" s="5">
        <v>22351.453838999998</v>
      </c>
      <c r="F47" s="5">
        <v>22578.685714136998</v>
      </c>
      <c r="G47" s="5">
        <v>22807.91089734147</v>
      </c>
      <c r="H47" s="5">
        <v>23039.151926767947</v>
      </c>
      <c r="I47" s="5">
        <v>23273.431610150492</v>
      </c>
      <c r="J47" s="5">
        <v>23510.773028202431</v>
      </c>
      <c r="K47" s="5">
        <v>23749.199538060988</v>
      </c>
      <c r="L47" s="5">
        <v>23991.73477677739</v>
      </c>
      <c r="S47" s="1" t="s">
        <v>98</v>
      </c>
    </row>
    <row r="48" spans="1:19" ht="15" thickBot="1"/>
    <row r="49" spans="1:19" ht="15" thickBot="1">
      <c r="A49" s="2" t="s">
        <v>121</v>
      </c>
      <c r="C49" s="3" t="s">
        <v>86</v>
      </c>
      <c r="D49" s="3" t="s">
        <v>87</v>
      </c>
      <c r="E49" s="3" t="s">
        <v>88</v>
      </c>
      <c r="F49" s="3" t="s">
        <v>89</v>
      </c>
      <c r="G49" s="3" t="s">
        <v>90</v>
      </c>
      <c r="H49" s="3" t="s">
        <v>91</v>
      </c>
      <c r="I49" s="3" t="s">
        <v>92</v>
      </c>
      <c r="J49" s="3" t="s">
        <v>93</v>
      </c>
      <c r="K49" s="3" t="s">
        <v>94</v>
      </c>
      <c r="L49" s="3" t="s">
        <v>95</v>
      </c>
      <c r="N49" s="3" t="s">
        <v>96</v>
      </c>
    </row>
    <row r="50" spans="1:19" ht="15" thickBot="1">
      <c r="A50" s="4" t="s">
        <v>122</v>
      </c>
      <c r="C50" s="5">
        <v>87612.616000000009</v>
      </c>
      <c r="D50" s="8">
        <v>90503.83232799999</v>
      </c>
      <c r="E50" s="8">
        <v>93671.466459479983</v>
      </c>
      <c r="F50" s="8">
        <v>96949.967785561777</v>
      </c>
      <c r="G50" s="8">
        <v>100343.21665805645</v>
      </c>
      <c r="H50" s="8">
        <v>103754.88602443035</v>
      </c>
      <c r="I50" s="8">
        <v>107282.552149261</v>
      </c>
      <c r="J50" s="8">
        <v>110930.15892233588</v>
      </c>
      <c r="K50" s="8">
        <v>114701.78432569531</v>
      </c>
      <c r="L50" s="8">
        <v>118601.64499276894</v>
      </c>
      <c r="N50" s="8">
        <v>0</v>
      </c>
      <c r="S50" s="1" t="s">
        <v>74</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5D47-051A-48AB-BE44-57FCA067ECA7}">
  <sheetPr codeName="Sheet26">
    <pageSetUpPr fitToPage="1"/>
  </sheetPr>
  <dimension ref="A1:Y40"/>
  <sheetViews>
    <sheetView tabSelected="1" topLeftCell="A50" zoomScale="94" workbookViewId="0">
      <selection activeCell="M46" sqref="M46"/>
    </sheetView>
  </sheetViews>
  <sheetFormatPr defaultColWidth="7.81640625" defaultRowHeight="14.5"/>
  <cols>
    <col min="1" max="1" width="39.81640625" style="1" customWidth="1"/>
    <col min="2" max="11" width="15.54296875" style="1" customWidth="1"/>
    <col min="12" max="16384" width="7.81640625" style="1"/>
  </cols>
  <sheetData>
    <row r="1" spans="1:25">
      <c r="A1" s="41" t="s">
        <v>123</v>
      </c>
      <c r="B1" s="42"/>
      <c r="C1" s="42"/>
      <c r="D1" s="42"/>
      <c r="E1" s="42"/>
      <c r="F1" s="42"/>
      <c r="G1" s="42"/>
      <c r="H1" s="42"/>
      <c r="I1" s="42"/>
      <c r="J1" s="42"/>
      <c r="K1" s="42"/>
    </row>
    <row r="2" spans="1:25" ht="15" thickBot="1"/>
    <row r="3" spans="1:25" ht="29.5" thickBot="1">
      <c r="A3" s="43" t="s">
        <v>124</v>
      </c>
      <c r="B3" s="44" t="s">
        <v>125</v>
      </c>
      <c r="C3" s="44" t="s">
        <v>126</v>
      </c>
      <c r="D3" s="44" t="s">
        <v>127</v>
      </c>
      <c r="E3" s="44" t="s">
        <v>128</v>
      </c>
      <c r="F3" s="44" t="s">
        <v>129</v>
      </c>
      <c r="G3" s="44" t="s">
        <v>130</v>
      </c>
      <c r="H3" s="44" t="s">
        <v>131</v>
      </c>
      <c r="I3" s="44" t="s">
        <v>132</v>
      </c>
      <c r="J3" s="44" t="s">
        <v>133</v>
      </c>
      <c r="K3" s="44" t="s">
        <v>134</v>
      </c>
    </row>
    <row r="4" spans="1:25" ht="15" thickBot="1">
      <c r="A4" s="4" t="s">
        <v>135</v>
      </c>
      <c r="B4" s="113">
        <v>179.03150590999999</v>
      </c>
      <c r="C4" s="113">
        <v>190.35113390999999</v>
      </c>
      <c r="D4" s="113">
        <v>199.97298344000001</v>
      </c>
      <c r="E4" s="113">
        <v>215.67500686985386</v>
      </c>
      <c r="F4" s="113">
        <v>227.04635765386962</v>
      </c>
      <c r="G4" s="113">
        <v>237.6815767284678</v>
      </c>
      <c r="H4" s="113">
        <v>247.32881852226791</v>
      </c>
      <c r="I4" s="113">
        <v>255.62712250374943</v>
      </c>
      <c r="J4" s="113">
        <v>259.55677546378456</v>
      </c>
      <c r="K4" s="113">
        <v>265.3495301223802</v>
      </c>
      <c r="P4" s="45"/>
      <c r="Q4" s="45"/>
      <c r="S4" s="45" t="s">
        <v>98</v>
      </c>
      <c r="T4" s="45"/>
      <c r="U4" s="45"/>
      <c r="V4" s="45"/>
      <c r="W4" s="45"/>
      <c r="X4" s="45"/>
      <c r="Y4" s="45"/>
    </row>
    <row r="5" spans="1:25" ht="15" thickBot="1">
      <c r="A5" s="4" t="s">
        <v>136</v>
      </c>
      <c r="B5" s="113">
        <v>161.63207867</v>
      </c>
      <c r="C5" s="113">
        <v>218.22457844999997</v>
      </c>
      <c r="D5" s="113">
        <v>273.49367269999993</v>
      </c>
      <c r="E5" s="113">
        <v>327.62195776683546</v>
      </c>
      <c r="F5" s="113">
        <v>344.90876661263997</v>
      </c>
      <c r="G5" s="113">
        <v>351.91802854177479</v>
      </c>
      <c r="H5" s="113">
        <v>356.8476381403691</v>
      </c>
      <c r="I5" s="113">
        <v>348.72907866524667</v>
      </c>
      <c r="J5" s="113">
        <v>335.1562344215763</v>
      </c>
      <c r="K5" s="113">
        <v>314.6547878303511</v>
      </c>
      <c r="P5" s="45"/>
      <c r="Q5" s="45"/>
      <c r="S5" s="45" t="s">
        <v>98</v>
      </c>
      <c r="T5" s="45"/>
      <c r="U5" s="45"/>
      <c r="V5" s="45"/>
      <c r="W5" s="45"/>
      <c r="X5" s="45"/>
      <c r="Y5" s="45"/>
    </row>
    <row r="6" spans="1:25" ht="15" thickBot="1">
      <c r="A6" s="9" t="s">
        <v>137</v>
      </c>
      <c r="B6" s="114">
        <f t="shared" ref="B6:K6" si="0">B4*B8-B5</f>
        <v>151.67305667249997</v>
      </c>
      <c r="C6" s="114">
        <f t="shared" si="0"/>
        <v>114.8899058925</v>
      </c>
      <c r="D6" s="114">
        <f t="shared" si="0"/>
        <v>76.459048320000079</v>
      </c>
      <c r="E6" s="114">
        <f t="shared" si="0"/>
        <v>49.80930425540879</v>
      </c>
      <c r="F6" s="114">
        <f t="shared" si="0"/>
        <v>52.422359281631884</v>
      </c>
      <c r="G6" s="114">
        <f t="shared" si="0"/>
        <v>64.024730733043839</v>
      </c>
      <c r="H6" s="114">
        <f t="shared" si="0"/>
        <v>75.977794273599727</v>
      </c>
      <c r="I6" s="114">
        <f t="shared" si="0"/>
        <v>98.618385716314833</v>
      </c>
      <c r="J6" s="114">
        <f t="shared" si="0"/>
        <v>119.06812264004668</v>
      </c>
      <c r="K6" s="114">
        <f t="shared" si="0"/>
        <v>149.70688988381426</v>
      </c>
      <c r="P6" s="45"/>
      <c r="Q6" s="45"/>
      <c r="R6" s="45"/>
      <c r="S6" s="45"/>
      <c r="T6" s="45"/>
      <c r="U6" s="45"/>
      <c r="V6" s="45"/>
      <c r="W6" s="45"/>
      <c r="X6" s="45"/>
      <c r="Y6" s="45"/>
    </row>
    <row r="7" spans="1:25" ht="15" thickBot="1">
      <c r="A7" s="9" t="s">
        <v>138</v>
      </c>
      <c r="B7" s="115">
        <f>IF(B4=0,0,B5/B4)</f>
        <v>0.90281360170903791</v>
      </c>
      <c r="C7" s="115">
        <f t="shared" ref="C7:K7" si="1">IF(C4=0,0,C5/C4)</f>
        <v>1.1464317231395051</v>
      </c>
      <c r="D7" s="115">
        <f t="shared" si="1"/>
        <v>1.3676531099115152</v>
      </c>
      <c r="E7" s="115">
        <f t="shared" si="1"/>
        <v>1.519053888170429</v>
      </c>
      <c r="F7" s="115">
        <f t="shared" si="1"/>
        <v>1.5191116482848435</v>
      </c>
      <c r="G7" s="115">
        <f t="shared" si="1"/>
        <v>1.4806281302307793</v>
      </c>
      <c r="H7" s="115">
        <f t="shared" si="1"/>
        <v>1.4428065450376977</v>
      </c>
      <c r="I7" s="115">
        <f t="shared" si="1"/>
        <v>1.3642100073325814</v>
      </c>
      <c r="J7" s="115">
        <f t="shared" si="1"/>
        <v>1.2912636698568478</v>
      </c>
      <c r="K7" s="115">
        <f t="shared" si="1"/>
        <v>1.1858124929983147</v>
      </c>
      <c r="P7" s="45"/>
      <c r="Q7" s="45"/>
      <c r="R7" s="45"/>
      <c r="S7" s="45"/>
      <c r="T7" s="45"/>
      <c r="U7" s="45"/>
      <c r="V7" s="45"/>
      <c r="W7" s="45"/>
      <c r="X7" s="45"/>
      <c r="Y7" s="45"/>
    </row>
    <row r="8" spans="1:25" ht="15" thickBot="1">
      <c r="A8" s="4" t="s">
        <v>139</v>
      </c>
      <c r="B8" s="116">
        <v>1.75</v>
      </c>
      <c r="C8" s="116">
        <v>1.75</v>
      </c>
      <c r="D8" s="116">
        <v>1.75</v>
      </c>
      <c r="E8" s="116">
        <v>1.75</v>
      </c>
      <c r="F8" s="116">
        <v>1.75</v>
      </c>
      <c r="G8" s="116">
        <v>1.75</v>
      </c>
      <c r="H8" s="116">
        <v>1.75</v>
      </c>
      <c r="I8" s="116">
        <v>1.75</v>
      </c>
      <c r="J8" s="116">
        <v>1.75</v>
      </c>
      <c r="K8" s="116">
        <v>1.75</v>
      </c>
      <c r="M8" s="1" t="s">
        <v>140</v>
      </c>
    </row>
    <row r="9" spans="1:25" ht="15" thickBot="1"/>
    <row r="10" spans="1:25" ht="29.5" thickBot="1">
      <c r="A10" s="43" t="s">
        <v>141</v>
      </c>
      <c r="B10" s="44" t="s">
        <v>125</v>
      </c>
      <c r="C10" s="44" t="s">
        <v>126</v>
      </c>
      <c r="D10" s="44" t="s">
        <v>127</v>
      </c>
      <c r="E10" s="44" t="s">
        <v>128</v>
      </c>
      <c r="F10" s="44" t="s">
        <v>129</v>
      </c>
      <c r="G10" s="44" t="s">
        <v>130</v>
      </c>
      <c r="H10" s="44" t="s">
        <v>131</v>
      </c>
      <c r="I10" s="44" t="s">
        <v>132</v>
      </c>
      <c r="J10" s="44" t="s">
        <v>133</v>
      </c>
      <c r="K10" s="44" t="s">
        <v>134</v>
      </c>
    </row>
    <row r="11" spans="1:25" ht="15" thickBot="1">
      <c r="A11" s="4" t="s">
        <v>135</v>
      </c>
      <c r="B11" s="48">
        <f>'2. Measures'!E$61/1000</f>
        <v>47.928156749999992</v>
      </c>
      <c r="C11" s="49">
        <f>'2. Measures'!F$61/1000</f>
        <v>52.387651120000008</v>
      </c>
      <c r="D11" s="49">
        <f>'2. Measures'!G$61/1000</f>
        <v>56.352809090000008</v>
      </c>
      <c r="E11" s="49">
        <f>'2. Measures'!H$61/1000</f>
        <v>63.213148929853872</v>
      </c>
      <c r="F11" s="49">
        <f>'2. Measures'!I$61/1000</f>
        <v>69.351621263869603</v>
      </c>
      <c r="G11" s="49">
        <f>'2. Measures'!J$61/1000</f>
        <v>76.375630218467791</v>
      </c>
      <c r="H11" s="49">
        <f>'2. Measures'!K$61/1000</f>
        <v>80.902821322267883</v>
      </c>
      <c r="I11" s="49">
        <f>'2. Measures'!L$61/1000</f>
        <v>85.039727323749474</v>
      </c>
      <c r="J11" s="49">
        <f>'2. Measures'!M$61/1000</f>
        <v>85.191402103784569</v>
      </c>
      <c r="K11" s="49">
        <f>'2. Measures'!N$61/1000</f>
        <v>86.447820632380157</v>
      </c>
    </row>
    <row r="12" spans="1:25" ht="15" thickBot="1">
      <c r="A12" s="4" t="s">
        <v>136</v>
      </c>
      <c r="B12" s="49">
        <f>'2. Measures'!E$64/1000</f>
        <v>154.77193249999999</v>
      </c>
      <c r="C12" s="49">
        <f>'2. Measures'!F$64/1000</f>
        <v>189.94642551999999</v>
      </c>
      <c r="D12" s="49">
        <f>'2. Measures'!G$64/1000</f>
        <v>225.14417202999996</v>
      </c>
      <c r="E12" s="49">
        <f>'2. Measures'!H$64/1000</f>
        <v>273.79624171683548</v>
      </c>
      <c r="F12" s="49">
        <f>'2. Measures'!I$64/1000</f>
        <v>305.11512397263994</v>
      </c>
      <c r="G12" s="49">
        <f>'2. Measures'!J$64/1000</f>
        <v>319.45869474177476</v>
      </c>
      <c r="H12" s="49">
        <f>'2. Measures'!K$64/1000</f>
        <v>332.25939914036917</v>
      </c>
      <c r="I12" s="49">
        <f>'2. Measures'!L$64/1000</f>
        <v>337.72314327524663</v>
      </c>
      <c r="J12" s="49">
        <f>'2. Measures'!M$64/1000</f>
        <v>340.00845219157623</v>
      </c>
      <c r="K12" s="49">
        <f>'2. Measures'!N$64/1000</f>
        <v>340.1065480803511</v>
      </c>
    </row>
    <row r="13" spans="1:25" ht="15" thickBot="1">
      <c r="A13" s="9" t="s">
        <v>137</v>
      </c>
      <c r="B13" s="46">
        <f t="shared" ref="B13:K13" si="2">B11*B15-B12</f>
        <v>84.868851249999977</v>
      </c>
      <c r="C13" s="46">
        <f t="shared" si="2"/>
        <v>71.991830080000057</v>
      </c>
      <c r="D13" s="46">
        <f t="shared" si="2"/>
        <v>56.619873420000062</v>
      </c>
      <c r="E13" s="46">
        <f t="shared" si="2"/>
        <v>42.269502932433909</v>
      </c>
      <c r="F13" s="46">
        <f t="shared" si="2"/>
        <v>41.642982346708095</v>
      </c>
      <c r="G13" s="46">
        <f t="shared" si="2"/>
        <v>62.41945635056419</v>
      </c>
      <c r="H13" s="46">
        <f t="shared" si="2"/>
        <v>72.254707470970231</v>
      </c>
      <c r="I13" s="46">
        <f t="shared" si="2"/>
        <v>87.475493343500773</v>
      </c>
      <c r="J13" s="46">
        <f t="shared" si="2"/>
        <v>85.948558327346632</v>
      </c>
      <c r="K13" s="46">
        <f t="shared" si="2"/>
        <v>92.132555081549697</v>
      </c>
    </row>
    <row r="14" spans="1:25" ht="15" thickBot="1">
      <c r="A14" s="9" t="s">
        <v>138</v>
      </c>
      <c r="B14" s="47">
        <f t="shared" ref="B14:K14" si="3">B12/B11</f>
        <v>3.2292485877834225</v>
      </c>
      <c r="C14" s="47">
        <f t="shared" si="3"/>
        <v>3.6257862580039255</v>
      </c>
      <c r="D14" s="47">
        <f t="shared" si="3"/>
        <v>3.9952608515118819</v>
      </c>
      <c r="E14" s="47">
        <f t="shared" si="3"/>
        <v>4.3313178721829004</v>
      </c>
      <c r="F14" s="47">
        <f t="shared" si="3"/>
        <v>4.399538444987976</v>
      </c>
      <c r="G14" s="47">
        <f t="shared" si="3"/>
        <v>4.1827307195761634</v>
      </c>
      <c r="H14" s="47">
        <f t="shared" si="3"/>
        <v>4.1068950836318647</v>
      </c>
      <c r="I14" s="47">
        <f t="shared" si="3"/>
        <v>3.9713573162049518</v>
      </c>
      <c r="J14" s="47">
        <f t="shared" si="3"/>
        <v>3.9911122929677854</v>
      </c>
      <c r="K14" s="47">
        <f t="shared" si="3"/>
        <v>3.9342408587332249</v>
      </c>
    </row>
    <row r="15" spans="1:25" ht="15" thickBot="1">
      <c r="A15" s="50" t="s">
        <v>142</v>
      </c>
      <c r="B15" s="51">
        <v>5</v>
      </c>
      <c r="C15" s="51">
        <v>5</v>
      </c>
      <c r="D15" s="51">
        <v>5</v>
      </c>
      <c r="E15" s="51">
        <v>5</v>
      </c>
      <c r="F15" s="51">
        <v>5</v>
      </c>
      <c r="G15" s="51">
        <v>5</v>
      </c>
      <c r="H15" s="51">
        <v>5</v>
      </c>
      <c r="I15" s="51">
        <v>5</v>
      </c>
      <c r="J15" s="51">
        <v>5</v>
      </c>
      <c r="K15" s="51">
        <v>5</v>
      </c>
      <c r="M15" s="1" t="s">
        <v>140</v>
      </c>
    </row>
    <row r="16" spans="1:25" ht="15" thickBot="1">
      <c r="A16" s="4"/>
      <c r="B16" s="51"/>
      <c r="C16" s="51"/>
      <c r="D16" s="51"/>
      <c r="E16" s="51"/>
      <c r="F16" s="51"/>
      <c r="G16" s="51"/>
      <c r="H16" s="51"/>
      <c r="I16" s="51"/>
      <c r="J16" s="51"/>
      <c r="K16" s="51"/>
      <c r="M16" s="1" t="s">
        <v>140</v>
      </c>
    </row>
    <row r="17" spans="1:11" ht="15" thickBot="1"/>
    <row r="18" spans="1:11" ht="29.5" thickBot="1">
      <c r="A18" s="43" t="s">
        <v>143</v>
      </c>
      <c r="B18" s="44" t="s">
        <v>125</v>
      </c>
      <c r="C18" s="44" t="s">
        <v>126</v>
      </c>
      <c r="D18" s="44" t="s">
        <v>127</v>
      </c>
      <c r="E18" s="44" t="s">
        <v>128</v>
      </c>
      <c r="F18" s="44" t="s">
        <v>129</v>
      </c>
      <c r="G18" s="44" t="s">
        <v>130</v>
      </c>
      <c r="H18" s="44" t="s">
        <v>131</v>
      </c>
      <c r="I18" s="44" t="s">
        <v>132</v>
      </c>
      <c r="J18" s="44" t="s">
        <v>133</v>
      </c>
      <c r="K18" s="44" t="s">
        <v>134</v>
      </c>
    </row>
    <row r="19" spans="1:11" ht="15" thickBot="1">
      <c r="A19" s="4" t="s">
        <v>144</v>
      </c>
      <c r="B19" s="49">
        <f>'4. Financials - water services'!E$30/1000</f>
        <v>29.03345539</v>
      </c>
      <c r="C19" s="49">
        <f>'4. Financials - water services'!F$30/1000</f>
        <v>30.721534209999998</v>
      </c>
      <c r="D19" s="49">
        <f>'4. Financials - water services'!G$30/1000</f>
        <v>27.123644809999998</v>
      </c>
      <c r="E19" s="49">
        <f>'4. Financials - water services'!H$30/1000</f>
        <v>30.566774940000002</v>
      </c>
      <c r="F19" s="49">
        <f>'4. Financials - water services'!I$30/1000</f>
        <v>21.734189009999998</v>
      </c>
      <c r="G19" s="49">
        <f>'4. Financials - water services'!J$30/1000</f>
        <v>25.57470967374595</v>
      </c>
      <c r="H19" s="49">
        <f>'4. Financials - water services'!K$30/1000</f>
        <v>30.24677150118757</v>
      </c>
      <c r="I19" s="49">
        <f>'4. Financials - water services'!L$30/1000</f>
        <v>24.077780577564745</v>
      </c>
      <c r="J19" s="49">
        <f>'4. Financials - water services'!M$30/1000</f>
        <v>28.610227769793529</v>
      </c>
      <c r="K19" s="49">
        <f>'4. Financials - water services'!N$30/1000</f>
        <v>24.662112988436025</v>
      </c>
    </row>
    <row r="20" spans="1:11" ht="15" thickBot="1">
      <c r="A20" s="4" t="s">
        <v>145</v>
      </c>
      <c r="B20" s="48">
        <f>'4. Financials - water services'!E$29/1000</f>
        <v>11.421327999999999</v>
      </c>
      <c r="C20" s="48">
        <f>'4. Financials - water services'!F$29/1000</f>
        <v>15.8797216</v>
      </c>
      <c r="D20" s="48">
        <f>'4. Financials - water services'!G$29/1000</f>
        <v>25.977467349999998</v>
      </c>
      <c r="E20" s="48">
        <f>'4. Financials - water services'!H$29/1000</f>
        <v>25.395171059500001</v>
      </c>
      <c r="F20" s="48">
        <f>'4. Financials - water services'!I$29/1000</f>
        <v>26.830686858499998</v>
      </c>
      <c r="G20" s="48">
        <f>'4. Financials - water services'!J$29/1000</f>
        <v>12.016239178871061</v>
      </c>
      <c r="H20" s="48">
        <f>'4. Financials - water services'!K$29/1000</f>
        <v>13.071421910257296</v>
      </c>
      <c r="I20" s="48">
        <f>'4. Financials - water services'!L$29/1000</f>
        <v>13.586723639764742</v>
      </c>
      <c r="J20" s="48">
        <f>'4. Financials - water services'!M$29/1000</f>
        <v>7.7536204922582854</v>
      </c>
      <c r="K20" s="48">
        <f>'4. Financials - water services'!N$29/1000</f>
        <v>9.519060181635691</v>
      </c>
    </row>
    <row r="21" spans="1:11" ht="15" thickBot="1">
      <c r="A21" s="4" t="s">
        <v>146</v>
      </c>
      <c r="B21" s="48">
        <f>'4. Financials - water services'!E$28/1000</f>
        <v>1.0695910200000001</v>
      </c>
      <c r="C21" s="48">
        <f>'4. Financials - water services'!F$28/1000</f>
        <v>6.6220743100000004</v>
      </c>
      <c r="D21" s="48">
        <f>'4. Financials - water services'!G$28/1000</f>
        <v>4.3410161299999999</v>
      </c>
      <c r="E21" s="48">
        <f>'4. Financials - water services'!H$28/1000</f>
        <v>7.80155025</v>
      </c>
      <c r="F21" s="48">
        <f>'4. Financials - water services'!I$28/1000</f>
        <v>4.4853658100000002</v>
      </c>
      <c r="G21" s="48">
        <f>'4. Financials - water services'!J$28/1000</f>
        <v>4.4875400993696557</v>
      </c>
      <c r="H21" s="48">
        <f>'4. Financials - water services'!K$28/1000</f>
        <v>1.2547016143431515</v>
      </c>
      <c r="I21" s="48">
        <f>'4. Financials - water services'!L$28/1000</f>
        <v>1.9925059395801461</v>
      </c>
      <c r="J21" s="48">
        <f>'4. Financials - water services'!M$28/1000</f>
        <v>0.34425895320666206</v>
      </c>
      <c r="K21" s="48">
        <f>'4. Financials - water services'!N$28/1000</f>
        <v>0.35053501791977842</v>
      </c>
    </row>
    <row r="22" spans="1:11" ht="15" thickBot="1">
      <c r="A22" s="4" t="s">
        <v>147</v>
      </c>
      <c r="B22" s="49">
        <f>'4. Financials - water services'!E$47/1000</f>
        <v>16.562728029999999</v>
      </c>
      <c r="C22" s="49">
        <f>'4. Financials - water services'!F$47/1000</f>
        <v>17.16591257</v>
      </c>
      <c r="D22" s="49">
        <f>'4. Financials - water services'!G$47/1000</f>
        <v>19.2978326</v>
      </c>
      <c r="E22" s="49">
        <f>'4. Financials - water services'!H$47/1000</f>
        <v>20.117763959999998</v>
      </c>
      <c r="F22" s="49">
        <f>'4. Financials - water services'!I$47/1000</f>
        <v>21.732089460000001</v>
      </c>
      <c r="G22" s="49">
        <f>'4. Financials - water services'!J$47/1000</f>
        <v>23.447690239999996</v>
      </c>
      <c r="H22" s="49">
        <f>'4. Financials - water services'!K$47/1000</f>
        <v>24.752541606783605</v>
      </c>
      <c r="I22" s="49">
        <f>'4. Financials - water services'!L$47/1000</f>
        <v>25.79823893388885</v>
      </c>
      <c r="J22" s="49">
        <f>'4. Financials - water services'!M$47/1000</f>
        <v>27.27618243668492</v>
      </c>
      <c r="K22" s="49">
        <f>'4. Financials - water services'!N$47/1000</f>
        <v>27.729016932181665</v>
      </c>
    </row>
    <row r="23" spans="1:11" ht="15" thickBot="1"/>
    <row r="24" spans="1:11" s="119" customFormat="1" ht="15" thickBot="1">
      <c r="A24" s="118" t="s">
        <v>148</v>
      </c>
      <c r="B24" s="44" t="s">
        <v>125</v>
      </c>
      <c r="C24" s="44" t="s">
        <v>126</v>
      </c>
      <c r="D24" s="44" t="s">
        <v>127</v>
      </c>
      <c r="E24" s="44" t="s">
        <v>128</v>
      </c>
      <c r="F24" s="44" t="s">
        <v>129</v>
      </c>
      <c r="G24" s="44" t="s">
        <v>130</v>
      </c>
      <c r="H24" s="44" t="s">
        <v>131</v>
      </c>
      <c r="I24" s="44" t="s">
        <v>132</v>
      </c>
      <c r="J24" s="44" t="s">
        <v>133</v>
      </c>
      <c r="K24" s="44" t="s">
        <v>134</v>
      </c>
    </row>
    <row r="25" spans="1:11" s="119" customFormat="1" ht="15" thickBot="1">
      <c r="A25" s="4" t="s">
        <v>149</v>
      </c>
      <c r="B25" s="48">
        <f>'2. Measures'!E56/1000</f>
        <v>154.77193249999999</v>
      </c>
      <c r="C25" s="48">
        <f>'2. Measures'!F56/1000</f>
        <v>189.94642551999999</v>
      </c>
      <c r="D25" s="48">
        <f>'2. Measures'!G56/1000</f>
        <v>225.14417202999996</v>
      </c>
      <c r="E25" s="48">
        <f>'2. Measures'!H56/1000</f>
        <v>273.79624171683548</v>
      </c>
      <c r="F25" s="48">
        <f>'2. Measures'!I56/1000</f>
        <v>305.11512397263994</v>
      </c>
      <c r="G25" s="48">
        <f>'2. Measures'!J56/1000</f>
        <v>319.45869474177476</v>
      </c>
      <c r="H25" s="48">
        <f>'2. Measures'!K56/1000</f>
        <v>332.25939914036917</v>
      </c>
      <c r="I25" s="48">
        <f>'2. Measures'!L56/1000</f>
        <v>337.72314327524663</v>
      </c>
      <c r="J25" s="48">
        <f>'2. Measures'!M56/1000</f>
        <v>340.00845219157623</v>
      </c>
      <c r="K25" s="48">
        <f>'2. Measures'!N56/1000</f>
        <v>340.1065480803511</v>
      </c>
    </row>
    <row r="26" spans="1:11" s="119" customFormat="1" ht="15" thickBot="1">
      <c r="A26" s="4" t="s">
        <v>150</v>
      </c>
      <c r="B26" s="48">
        <f>'2. Measures'!E74/1000</f>
        <v>16.038361909999999</v>
      </c>
      <c r="C26" s="48">
        <f>'2. Measures'!F74/1000</f>
        <v>17.636382600000012</v>
      </c>
      <c r="D26" s="48">
        <f>'2. Measures'!G74/1000</f>
        <v>21.829427280000012</v>
      </c>
      <c r="E26" s="48">
        <f>'2. Measures'!H74/1000</f>
        <v>19.694472062664484</v>
      </c>
      <c r="F26" s="48">
        <f>'2. Measures'!I74/1000</f>
        <v>21.312904922695576</v>
      </c>
      <c r="G26" s="48">
        <f>'2. Measures'!J74/1000</f>
        <v>27.315963682851791</v>
      </c>
      <c r="H26" s="48">
        <f>'2. Measures'!K74/1000</f>
        <v>31.352236127193713</v>
      </c>
      <c r="I26" s="48">
        <f>'2. Measures'!L74/1000</f>
        <v>33.772311522032112</v>
      </c>
      <c r="J26" s="48">
        <f>'2. Measures'!M74/1000</f>
        <v>34.00084379892882</v>
      </c>
      <c r="K26" s="48">
        <f>'2. Measures'!N74/1000</f>
        <v>34.010657799216688</v>
      </c>
    </row>
    <row r="27" spans="1:11" s="119" customFormat="1" ht="15" thickBot="1">
      <c r="A27" s="9" t="s">
        <v>151</v>
      </c>
      <c r="B27" s="120">
        <f t="shared" ref="B27:K27" si="4">B26/B25</f>
        <v>0.10362577794911232</v>
      </c>
      <c r="C27" s="120">
        <f t="shared" si="4"/>
        <v>9.2849247105958446E-2</v>
      </c>
      <c r="D27" s="120">
        <f t="shared" si="4"/>
        <v>9.6957549836516707E-2</v>
      </c>
      <c r="E27" s="120">
        <f t="shared" si="4"/>
        <v>7.1931126370364237E-2</v>
      </c>
      <c r="F27" s="120">
        <f t="shared" si="4"/>
        <v>6.9852010759737793E-2</v>
      </c>
      <c r="G27" s="120">
        <f t="shared" si="4"/>
        <v>8.5507028396681659E-2</v>
      </c>
      <c r="H27" s="120">
        <f t="shared" si="4"/>
        <v>9.4360719992599443E-2</v>
      </c>
      <c r="I27" s="120">
        <f t="shared" si="4"/>
        <v>9.9999991692921827E-2</v>
      </c>
      <c r="J27" s="120">
        <f t="shared" si="4"/>
        <v>9.9999995822960305E-2</v>
      </c>
      <c r="K27" s="120">
        <f t="shared" si="4"/>
        <v>0.10000000879483678</v>
      </c>
    </row>
    <row r="28" spans="1:11" s="119" customFormat="1" ht="10.5" thickBot="1"/>
    <row r="29" spans="1:11" s="119" customFormat="1" ht="15" thickBot="1">
      <c r="A29" s="118" t="s">
        <v>152</v>
      </c>
      <c r="B29" s="44" t="s">
        <v>125</v>
      </c>
      <c r="C29" s="44" t="s">
        <v>126</v>
      </c>
      <c r="D29" s="44" t="s">
        <v>127</v>
      </c>
      <c r="E29" s="44" t="s">
        <v>128</v>
      </c>
      <c r="F29" s="44" t="s">
        <v>129</v>
      </c>
      <c r="G29" s="44" t="s">
        <v>130</v>
      </c>
      <c r="H29" s="44" t="s">
        <v>131</v>
      </c>
      <c r="I29" s="44" t="s">
        <v>132</v>
      </c>
      <c r="J29" s="44" t="s">
        <v>133</v>
      </c>
      <c r="K29" s="44" t="s">
        <v>134</v>
      </c>
    </row>
    <row r="30" spans="1:11" s="119" customFormat="1" ht="15" thickBot="1">
      <c r="A30" s="4" t="s">
        <v>153</v>
      </c>
      <c r="B30" s="121">
        <f>Input!$F$15</f>
        <v>0.09</v>
      </c>
      <c r="C30" s="121">
        <f>Input!$F$15</f>
        <v>0.09</v>
      </c>
      <c r="D30" s="121">
        <f>Input!$F$15</f>
        <v>0.09</v>
      </c>
      <c r="E30" s="121">
        <f>Input!$F$15</f>
        <v>0.09</v>
      </c>
      <c r="F30" s="121">
        <f>Input!$F$15</f>
        <v>0.09</v>
      </c>
      <c r="G30" s="121">
        <f>Input!$F$15</f>
        <v>0.09</v>
      </c>
      <c r="H30" s="121">
        <f>Input!$F$15</f>
        <v>0.09</v>
      </c>
      <c r="I30" s="121">
        <f>Input!$F$15</f>
        <v>0.09</v>
      </c>
      <c r="J30" s="121">
        <f>Input!$F$15</f>
        <v>0.09</v>
      </c>
      <c r="K30" s="121">
        <f>Input!$F$15</f>
        <v>0.09</v>
      </c>
    </row>
    <row r="31" spans="1:11" s="119" customFormat="1" ht="15" thickBot="1">
      <c r="A31" s="4" t="s">
        <v>154</v>
      </c>
      <c r="B31" s="122">
        <f t="shared" ref="B31:K31" si="5">B26</f>
        <v>16.038361909999999</v>
      </c>
      <c r="C31" s="122">
        <f t="shared" si="5"/>
        <v>17.636382600000012</v>
      </c>
      <c r="D31" s="122">
        <f t="shared" si="5"/>
        <v>21.829427280000012</v>
      </c>
      <c r="E31" s="122">
        <f t="shared" si="5"/>
        <v>19.694472062664484</v>
      </c>
      <c r="F31" s="122">
        <f t="shared" si="5"/>
        <v>21.312904922695576</v>
      </c>
      <c r="G31" s="122">
        <f t="shared" si="5"/>
        <v>27.315963682851791</v>
      </c>
      <c r="H31" s="122">
        <f t="shared" si="5"/>
        <v>31.352236127193713</v>
      </c>
      <c r="I31" s="122">
        <f t="shared" si="5"/>
        <v>33.772311522032112</v>
      </c>
      <c r="J31" s="122">
        <f t="shared" si="5"/>
        <v>34.00084379892882</v>
      </c>
      <c r="K31" s="123">
        <f t="shared" si="5"/>
        <v>34.010657799216688</v>
      </c>
    </row>
    <row r="32" spans="1:11" s="119" customFormat="1" ht="15" thickBot="1">
      <c r="A32" s="4" t="s">
        <v>136</v>
      </c>
      <c r="B32" s="124">
        <f t="shared" ref="B32:K32" si="6">B25</f>
        <v>154.77193249999999</v>
      </c>
      <c r="C32" s="124">
        <f t="shared" si="6"/>
        <v>189.94642551999999</v>
      </c>
      <c r="D32" s="124">
        <f t="shared" si="6"/>
        <v>225.14417202999996</v>
      </c>
      <c r="E32" s="124">
        <f t="shared" si="6"/>
        <v>273.79624171683548</v>
      </c>
      <c r="F32" s="124">
        <f t="shared" si="6"/>
        <v>305.11512397263994</v>
      </c>
      <c r="G32" s="124">
        <f t="shared" si="6"/>
        <v>319.45869474177476</v>
      </c>
      <c r="H32" s="124">
        <f t="shared" si="6"/>
        <v>332.25939914036917</v>
      </c>
      <c r="I32" s="124">
        <f t="shared" si="6"/>
        <v>337.72314327524663</v>
      </c>
      <c r="J32" s="124">
        <f t="shared" si="6"/>
        <v>340.00845219157623</v>
      </c>
      <c r="K32" s="124">
        <f t="shared" si="6"/>
        <v>340.1065480803511</v>
      </c>
    </row>
    <row r="33" spans="1:11" s="119" customFormat="1" ht="15" thickBot="1">
      <c r="A33" s="85" t="s">
        <v>155</v>
      </c>
      <c r="B33" s="125">
        <f>(B31/B30)-B32</f>
        <v>23.432088722222232</v>
      </c>
      <c r="C33" s="125">
        <f t="shared" ref="C33:K33" si="7">(C31/C30)-C32</f>
        <v>6.0133811466668021</v>
      </c>
      <c r="D33" s="125">
        <f t="shared" si="7"/>
        <v>17.405019970000183</v>
      </c>
      <c r="E33" s="125">
        <f t="shared" si="7"/>
        <v>-54.968774353896748</v>
      </c>
      <c r="F33" s="125">
        <f t="shared" si="7"/>
        <v>-68.305069276022408</v>
      </c>
      <c r="G33" s="125">
        <f>(G31/G30)-G32</f>
        <v>-15.947987154532655</v>
      </c>
      <c r="H33" s="125">
        <f>(H31/H30)-H32</f>
        <v>16.098780050672076</v>
      </c>
      <c r="I33" s="125">
        <f t="shared" si="7"/>
        <v>37.524762525110191</v>
      </c>
      <c r="J33" s="125">
        <f t="shared" si="7"/>
        <v>37.778701129855108</v>
      </c>
      <c r="K33" s="125">
        <f t="shared" si="7"/>
        <v>37.789649688723216</v>
      </c>
    </row>
    <row r="34" spans="1:11" s="119" customFormat="1" ht="10.5" thickBot="1"/>
    <row r="35" spans="1:11" ht="29.5" thickBot="1">
      <c r="A35" s="43" t="s">
        <v>156</v>
      </c>
      <c r="B35" s="44" t="s">
        <v>125</v>
      </c>
      <c r="C35" s="44" t="s">
        <v>126</v>
      </c>
      <c r="D35" s="44" t="s">
        <v>127</v>
      </c>
      <c r="E35" s="44" t="s">
        <v>128</v>
      </c>
      <c r="F35" s="44" t="s">
        <v>129</v>
      </c>
      <c r="G35" s="44" t="s">
        <v>130</v>
      </c>
      <c r="H35" s="44" t="s">
        <v>131</v>
      </c>
      <c r="I35" s="44" t="s">
        <v>132</v>
      </c>
      <c r="J35" s="44" t="s">
        <v>133</v>
      </c>
      <c r="K35" s="44" t="s">
        <v>134</v>
      </c>
    </row>
    <row r="36" spans="1:11" ht="15" thickBot="1">
      <c r="A36" s="4" t="s">
        <v>157</v>
      </c>
      <c r="B36" s="52">
        <f>'4. Financials - water services'!E$48/1000-B37-B38</f>
        <v>28.798122839999994</v>
      </c>
      <c r="C36" s="52">
        <f>'4. Financials - water services'!F$48/1000-C37-C38</f>
        <v>29.377789569999994</v>
      </c>
      <c r="D36" s="52">
        <f>'4. Financials - water services'!G$48/1000-D37-D38</f>
        <v>27.584191579999995</v>
      </c>
      <c r="E36" s="52">
        <f>'4. Financials - water services'!H$48/1000-E37-E38</f>
        <v>29.163181059999992</v>
      </c>
      <c r="F36" s="52">
        <f>'4. Financials - water services'!I$48/1000-F37-F38</f>
        <v>31.307316137499992</v>
      </c>
      <c r="G36" s="52">
        <f>'4. Financials - water services'!J$48/1000-G37-G38</f>
        <v>30.959091965390332</v>
      </c>
      <c r="H36" s="52">
        <f>'4. Financials - water services'!K$48/1000-H37-H38</f>
        <v>30.621230449380672</v>
      </c>
      <c r="I36" s="52">
        <f>'4. Financials - water services'!L$48/1000-I37-I38</f>
        <v>31.769249951068371</v>
      </c>
      <c r="J36" s="52">
        <f>'4. Financials - water services'!M$48/1000-J37-J38</f>
        <v>31.444284863977416</v>
      </c>
      <c r="K36" s="52">
        <f>'4. Financials - water services'!N$48/1000-K37-K38</f>
        <v>32.604685095340344</v>
      </c>
    </row>
    <row r="37" spans="1:11" ht="15" thickBot="1">
      <c r="A37" s="4" t="s">
        <v>158</v>
      </c>
      <c r="B37" s="52">
        <f>'4. Financials - water services'!E$45/1000</f>
        <v>5.2790720000000002</v>
      </c>
      <c r="C37" s="52">
        <f>'4. Financials - water services'!F$45/1000</f>
        <v>5.7859334499999999</v>
      </c>
      <c r="D37" s="52">
        <f>'4. Financials - water services'!G$45/1000</f>
        <v>7.3541447299999998</v>
      </c>
      <c r="E37" s="52">
        <f>'4. Financials - water services'!H$45/1000</f>
        <v>14.772450307189384</v>
      </c>
      <c r="F37" s="52">
        <f>'4. Financials - water services'!I$45/1000</f>
        <v>17.149854703674041</v>
      </c>
      <c r="G37" s="52">
        <f>'4. Financials - water services'!J$45/1000</f>
        <v>18.519529070225673</v>
      </c>
      <c r="H37" s="52">
        <f>'4. Financials - water services'!K$45/1000</f>
        <v>19.349309245693512</v>
      </c>
      <c r="I37" s="52">
        <f>'4. Financials - water services'!L$45/1000</f>
        <v>19.919120350649003</v>
      </c>
      <c r="J37" s="52">
        <f>'4. Financials - water services'!M$45/1000</f>
        <v>20.168227940878339</v>
      </c>
      <c r="K37" s="52">
        <f>'4. Financials - water services'!N$45/1000</f>
        <v>20.255432237823129</v>
      </c>
    </row>
    <row r="38" spans="1:11" ht="15" thickBot="1">
      <c r="A38" s="4" t="s">
        <v>147</v>
      </c>
      <c r="B38" s="52">
        <f>'4. Financials - water services'!E$47/1000</f>
        <v>16.562728029999999</v>
      </c>
      <c r="C38" s="52">
        <f>'4. Financials - water services'!F$47/1000</f>
        <v>17.16591257</v>
      </c>
      <c r="D38" s="52">
        <f>'4. Financials - water services'!G$47/1000</f>
        <v>19.2978326</v>
      </c>
      <c r="E38" s="52">
        <f>'4. Financials - water services'!H$47/1000</f>
        <v>20.117763959999998</v>
      </c>
      <c r="F38" s="52">
        <f>'4. Financials - water services'!I$47/1000</f>
        <v>21.732089460000001</v>
      </c>
      <c r="G38" s="52">
        <f>'4. Financials - water services'!J$47/1000</f>
        <v>23.447690239999996</v>
      </c>
      <c r="H38" s="52">
        <f>'4. Financials - water services'!K$47/1000</f>
        <v>24.752541606783605</v>
      </c>
      <c r="I38" s="52">
        <f>'4. Financials - water services'!L$47/1000</f>
        <v>25.79823893388885</v>
      </c>
      <c r="J38" s="52">
        <f>'4. Financials - water services'!M$47/1000</f>
        <v>27.27618243668492</v>
      </c>
      <c r="K38" s="52">
        <f>'4. Financials - water services'!N$47/1000</f>
        <v>27.729016932181665</v>
      </c>
    </row>
    <row r="39" spans="1:11" ht="15" thickBot="1">
      <c r="A39" s="4" t="s">
        <v>159</v>
      </c>
      <c r="B39" s="52">
        <f>'4. Financials - water services'!E$40/1000</f>
        <v>47.928156749999992</v>
      </c>
      <c r="C39" s="52">
        <f>'4. Financials - water services'!F$40/1000</f>
        <v>52.387651120000008</v>
      </c>
      <c r="D39" s="52">
        <f>'4. Financials - water services'!G$40/1000</f>
        <v>56.352809090000008</v>
      </c>
      <c r="E39" s="52">
        <f>'4. Financials - water services'!H$40/1000</f>
        <v>63.213148929853872</v>
      </c>
      <c r="F39" s="52">
        <f>'4. Financials - water services'!I$40/1000</f>
        <v>69.351621263869603</v>
      </c>
      <c r="G39" s="52">
        <f>'4. Financials - water services'!J$40/1000</f>
        <v>76.375630218467791</v>
      </c>
      <c r="H39" s="52">
        <f>'4. Financials - water services'!K$40/1000</f>
        <v>80.902821322267883</v>
      </c>
      <c r="I39" s="52">
        <f>'4. Financials - water services'!L$40/1000</f>
        <v>85.039727323749474</v>
      </c>
      <c r="J39" s="52">
        <f>'4. Financials - water services'!M$40/1000</f>
        <v>85.191402103784569</v>
      </c>
      <c r="K39" s="52">
        <f>'4. Financials - water services'!N$40/1000</f>
        <v>86.447820632380157</v>
      </c>
    </row>
    <row r="40" spans="1:11" ht="15" thickBot="1">
      <c r="A40" s="9" t="s">
        <v>160</v>
      </c>
      <c r="B40" s="46">
        <f t="shared" ref="B40:K40" si="8">B39-SUM(B36:B38)</f>
        <v>-2.7117661200000001</v>
      </c>
      <c r="C40" s="46">
        <f t="shared" si="8"/>
        <v>5.8015530000012916E-2</v>
      </c>
      <c r="D40" s="46">
        <f t="shared" si="8"/>
        <v>2.1166401800000116</v>
      </c>
      <c r="E40" s="46">
        <f t="shared" si="8"/>
        <v>-0.84024639733550543</v>
      </c>
      <c r="F40" s="46">
        <f t="shared" si="8"/>
        <v>-0.83763903730442735</v>
      </c>
      <c r="G40" s="46">
        <f t="shared" si="8"/>
        <v>3.4493189428517894</v>
      </c>
      <c r="H40" s="46">
        <f t="shared" si="8"/>
        <v>6.1797400204100938</v>
      </c>
      <c r="I40" s="46">
        <f t="shared" si="8"/>
        <v>7.5531180881432505</v>
      </c>
      <c r="J40" s="46">
        <f t="shared" si="8"/>
        <v>6.3027068622438946</v>
      </c>
      <c r="K40" s="46">
        <f t="shared" si="8"/>
        <v>5.8586863670350198</v>
      </c>
    </row>
  </sheetData>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DDA39-43A0-451A-8DD7-E8FD08C5C34E}">
  <sheetPr codeName="Sheet27">
    <pageSetUpPr fitToPage="1"/>
  </sheetPr>
  <dimension ref="A1:AA108"/>
  <sheetViews>
    <sheetView zoomScale="85" zoomScaleNormal="85" workbookViewId="0">
      <selection activeCell="J60" sqref="J60"/>
    </sheetView>
  </sheetViews>
  <sheetFormatPr defaultColWidth="7.81640625" defaultRowHeight="14.5" outlineLevelCol="1"/>
  <cols>
    <col min="1" max="1" width="65.54296875" style="1" customWidth="1"/>
    <col min="2" max="2" width="1.81640625" style="1" hidden="1" customWidth="1" outlineLevel="1"/>
    <col min="3" max="3" width="11.26953125" style="1" hidden="1" customWidth="1" outlineLevel="1"/>
    <col min="4" max="4" width="1.81640625" style="1" hidden="1" customWidth="1" outlineLevel="1"/>
    <col min="5" max="5" width="15.54296875" style="1" customWidth="1" collapsed="1"/>
    <col min="6" max="15" width="15.54296875" style="1" customWidth="1"/>
    <col min="16" max="17" width="7.81640625" style="1"/>
    <col min="18" max="22" width="9.54296875" style="1" bestFit="1" customWidth="1"/>
    <col min="23" max="16384" width="7.81640625" style="1"/>
  </cols>
  <sheetData>
    <row r="1" spans="1:27">
      <c r="A1" s="42" t="s">
        <v>161</v>
      </c>
      <c r="B1" s="42"/>
      <c r="C1" s="42"/>
      <c r="D1" s="42"/>
      <c r="E1" s="42"/>
      <c r="F1" s="42"/>
      <c r="G1" s="42"/>
      <c r="H1" s="42"/>
      <c r="I1" s="42"/>
      <c r="J1" s="42"/>
      <c r="K1" s="42"/>
      <c r="L1" s="42"/>
      <c r="M1" s="42"/>
      <c r="N1" s="42"/>
      <c r="O1" s="42"/>
    </row>
    <row r="2" spans="1:27" ht="5.25" customHeight="1" thickBot="1">
      <c r="A2" s="53"/>
    </row>
    <row r="3" spans="1:27" ht="15" thickBot="1">
      <c r="A3" s="2" t="s">
        <v>162</v>
      </c>
      <c r="C3" s="3" t="s">
        <v>96</v>
      </c>
      <c r="E3" s="3" t="s">
        <v>86</v>
      </c>
      <c r="F3" s="3" t="s">
        <v>87</v>
      </c>
      <c r="G3" s="3" t="s">
        <v>88</v>
      </c>
      <c r="H3" s="3" t="s">
        <v>89</v>
      </c>
      <c r="I3" s="3" t="s">
        <v>90</v>
      </c>
      <c r="J3" s="3" t="s">
        <v>91</v>
      </c>
      <c r="K3" s="3" t="s">
        <v>92</v>
      </c>
      <c r="L3" s="3" t="s">
        <v>93</v>
      </c>
      <c r="M3" s="3" t="s">
        <v>94</v>
      </c>
      <c r="N3" s="3" t="s">
        <v>95</v>
      </c>
    </row>
    <row r="4" spans="1:27" ht="15" thickBot="1">
      <c r="A4" s="4" t="s">
        <v>163</v>
      </c>
      <c r="C4" s="54">
        <f>('5. Financials - drinking water'!C$3+'5. Financials - drinking water'!C$4)*1000/Input!$C$4*1.15</f>
        <v>811.62918004212509</v>
      </c>
      <c r="E4" s="54">
        <f>('5. Financials - drinking water'!E$3+'5. Financials - drinking water'!E$4)*1000/Input!C$45*1.15</f>
        <v>948.50974575789371</v>
      </c>
      <c r="F4" s="54">
        <f>('5. Financials - drinking water'!F$3+'5. Financials - drinking water'!F$4)*1000/Input!D$45*1.15</f>
        <v>1059.8430756069363</v>
      </c>
      <c r="G4" s="54">
        <f>('5. Financials - drinking water'!G$3+'5. Financials - drinking water'!G$4)*1000/Input!E$45*1.15</f>
        <v>1146.7229846837752</v>
      </c>
      <c r="H4" s="54">
        <f>('5. Financials - drinking water'!H$3+'5. Financials - drinking water'!H$4)*1000/Input!F$45*1.15</f>
        <v>1287.5651000099049</v>
      </c>
      <c r="I4" s="54">
        <f>('5. Financials - drinking water'!I$3+'5. Financials - drinking water'!I$4)*1000/Input!G$45*1.15</f>
        <v>1486.7795031834096</v>
      </c>
      <c r="J4" s="54">
        <f>('5. Financials - drinking water'!J$3+'5. Financials - drinking water'!J$4)*1000/Input!H$45*1.15</f>
        <v>1605.959620669995</v>
      </c>
      <c r="K4" s="54">
        <f>('5. Financials - drinking water'!K$3+'5. Financials - drinking water'!K$4)*1000/Input!I$45*1.15</f>
        <v>1657.8835673485853</v>
      </c>
      <c r="L4" s="54">
        <f>('5. Financials - drinking water'!L$3+'5. Financials - drinking water'!L$4)*1000/Input!J$45*1.15</f>
        <v>1660.6928503843874</v>
      </c>
      <c r="M4" s="54">
        <f>('5. Financials - drinking water'!M$3+'5. Financials - drinking water'!M$4)*1000/Input!K$45*1.15</f>
        <v>1662.7293781920218</v>
      </c>
      <c r="N4" s="54">
        <f>('5. Financials - drinking water'!N$3+'5. Financials - drinking water'!N$4)*1000/Input!L$45*1.15</f>
        <v>1659.4733630657167</v>
      </c>
      <c r="R4" s="45"/>
      <c r="S4" s="45"/>
      <c r="T4" s="45"/>
      <c r="U4" s="45"/>
      <c r="V4" s="45"/>
      <c r="W4" s="45"/>
      <c r="X4" s="45"/>
      <c r="Y4" s="45"/>
      <c r="Z4" s="45"/>
      <c r="AA4" s="45"/>
    </row>
    <row r="5" spans="1:27" ht="15" thickBot="1">
      <c r="A5" s="4" t="s">
        <v>164</v>
      </c>
      <c r="C5" s="54">
        <f>('6. Financials - wastewater'!C$3+'6. Financials - wastewater'!C$4)*1000/Input!$D$4*1.15</f>
        <v>967.39663237594505</v>
      </c>
      <c r="E5" s="54">
        <f>('6. Financials - wastewater'!E$3+'6. Financials - wastewater'!E$4)*1000/Input!C$46*1.15</f>
        <v>1046.7767442406055</v>
      </c>
      <c r="F5" s="54">
        <f>('6. Financials - wastewater'!F$3+'6. Financials - wastewater'!F$4)*1000/Input!D$46*1.15</f>
        <v>1169.9429576543721</v>
      </c>
      <c r="G5" s="54">
        <f>('6. Financials - wastewater'!G$3+'6. Financials - wastewater'!G$4)*1000/Input!E$46*1.15</f>
        <v>1297.3102478152857</v>
      </c>
      <c r="H5" s="54">
        <f>('6. Financials - wastewater'!H$3+'6. Financials - wastewater'!H$4)*1000/Input!F$46*1.15</f>
        <v>1456.6828659119374</v>
      </c>
      <c r="I5" s="54">
        <f>('6. Financials - wastewater'!I$3+'6. Financials - wastewater'!I$4)*1000/Input!G$46*1.15</f>
        <v>1512.4912987044916</v>
      </c>
      <c r="J5" s="54">
        <f>('6. Financials - wastewater'!J$3+'6. Financials - wastewater'!J$4)*1000/Input!H$46*1.15</f>
        <v>1679.9828180090133</v>
      </c>
      <c r="K5" s="54">
        <f>('6. Financials - wastewater'!K$3+'6. Financials - wastewater'!K$4)*1000/Input!I$46*1.15</f>
        <v>1782.1427907316829</v>
      </c>
      <c r="L5" s="54">
        <f>('6. Financials - wastewater'!L$3+'6. Financials - wastewater'!L$4)*1000/Input!J$46*1.15</f>
        <v>1906.999475419811</v>
      </c>
      <c r="M5" s="54">
        <f>('6. Financials - wastewater'!M$3+'6. Financials - wastewater'!M$4)*1000/Input!K$46*1.15</f>
        <v>1855.8119503980763</v>
      </c>
      <c r="N5" s="54">
        <f>('6. Financials - wastewater'!N$3+'6. Financials - wastewater'!N$4)*1000/Input!L$46*1.15</f>
        <v>1868.6029288654686</v>
      </c>
      <c r="R5" s="45"/>
      <c r="S5" s="45"/>
      <c r="T5" s="45"/>
      <c r="U5" s="45"/>
      <c r="V5" s="45"/>
      <c r="W5" s="45"/>
      <c r="X5" s="45"/>
      <c r="Y5" s="45"/>
      <c r="Z5" s="45"/>
      <c r="AA5" s="45"/>
    </row>
    <row r="6" spans="1:27" ht="15" thickBot="1">
      <c r="A6" s="4" t="s">
        <v>165</v>
      </c>
      <c r="C6" s="54">
        <f>('7. Financials - stormwater'!C$3+'7. Financials - stormwater'!C$4)*1000/Input!$E$4*1.15</f>
        <v>130.74677771118175</v>
      </c>
      <c r="E6" s="54">
        <f>('7. Financials - stormwater'!E$3+'7. Financials - stormwater'!E$4)*1000/Input!C$47*1.15</f>
        <v>166.62252351061397</v>
      </c>
      <c r="F6" s="54">
        <f>('7. Financials - stormwater'!F$3+'7. Financials - stormwater'!F$4)*1000/Input!D$47*1.15</f>
        <v>173.93473671706604</v>
      </c>
      <c r="G6" s="54">
        <f>('7. Financials - stormwater'!G$3+'7. Financials - stormwater'!G$4)*1000/Input!E$47*1.15</f>
        <v>191.57187184972713</v>
      </c>
      <c r="H6" s="54">
        <f>('7. Financials - stormwater'!H$3+'7. Financials - stormwater'!H$4)*1000/Input!F$47*1.15</f>
        <v>190.61742359720384</v>
      </c>
      <c r="I6" s="54">
        <f>('7. Financials - stormwater'!I$3+'7. Financials - stormwater'!I$4)*1000/Input!G$47*1.15</f>
        <v>197.47913515656927</v>
      </c>
      <c r="J6" s="54">
        <f>('7. Financials - stormwater'!J$3+'7. Financials - stormwater'!J$4)*1000/Input!H$47*1.15</f>
        <v>205.61005098360306</v>
      </c>
      <c r="K6" s="54">
        <f>('7. Financials - stormwater'!K$3+'7. Financials - stormwater'!K$4)*1000/Input!I$47*1.15</f>
        <v>224.70689151707924</v>
      </c>
      <c r="L6" s="54">
        <f>('7. Financials - stormwater'!L$3+'7. Financials - stormwater'!L$4)*1000/Input!J$47*1.15</f>
        <v>247.38940127148996</v>
      </c>
      <c r="M6" s="54">
        <f>('7. Financials - stormwater'!M$3+'7. Financials - stormwater'!M$4)*1000/Input!K$47*1.15</f>
        <v>264.54497734356721</v>
      </c>
      <c r="N6" s="54">
        <f>('7. Financials - stormwater'!N$3+'7. Financials - stormwater'!N$4)*1000/Input!L$47*1.15</f>
        <v>270.89095925968076</v>
      </c>
      <c r="R6" s="45"/>
      <c r="S6" s="45"/>
      <c r="T6" s="45"/>
      <c r="U6" s="45"/>
      <c r="V6" s="45"/>
      <c r="W6" s="45"/>
      <c r="X6" s="45"/>
      <c r="Y6" s="45"/>
      <c r="Z6" s="45"/>
      <c r="AA6" s="45"/>
    </row>
    <row r="7" spans="1:27" ht="15" thickBot="1">
      <c r="A7" s="9" t="s">
        <v>162</v>
      </c>
      <c r="C7" s="55">
        <f>SUM(C4:C6)</f>
        <v>1909.7725901292517</v>
      </c>
      <c r="E7" s="56">
        <f t="shared" ref="E7:N7" si="0">SUM(E4:E6)</f>
        <v>2161.9090135091133</v>
      </c>
      <c r="F7" s="56">
        <f t="shared" si="0"/>
        <v>2403.7207699783744</v>
      </c>
      <c r="G7" s="56">
        <f t="shared" si="0"/>
        <v>2635.6051043487878</v>
      </c>
      <c r="H7" s="56">
        <f t="shared" si="0"/>
        <v>2934.8653895190464</v>
      </c>
      <c r="I7" s="56">
        <f t="shared" si="0"/>
        <v>3196.7499370444702</v>
      </c>
      <c r="J7" s="56">
        <f t="shared" si="0"/>
        <v>3491.5524896626112</v>
      </c>
      <c r="K7" s="56">
        <f t="shared" si="0"/>
        <v>3664.7332495973478</v>
      </c>
      <c r="L7" s="56">
        <f t="shared" si="0"/>
        <v>3815.0817270756884</v>
      </c>
      <c r="M7" s="56">
        <f t="shared" si="0"/>
        <v>3783.0863059336652</v>
      </c>
      <c r="N7" s="56">
        <f t="shared" si="0"/>
        <v>3798.9672511908661</v>
      </c>
    </row>
    <row r="8" spans="1:27" ht="15" thickBot="1">
      <c r="A8" s="4" t="s">
        <v>166</v>
      </c>
      <c r="C8" s="54"/>
      <c r="E8" s="57">
        <f>(E7-C7)/C7</f>
        <v>0.13202431780780619</v>
      </c>
      <c r="F8" s="57">
        <f t="shared" ref="F8:N8" si="1">(F7-E7)/E7</f>
        <v>0.11185103302602138</v>
      </c>
      <c r="G8" s="57">
        <f t="shared" si="1"/>
        <v>9.6468914886690266E-2</v>
      </c>
      <c r="H8" s="57">
        <f t="shared" si="1"/>
        <v>0.11354519107451821</v>
      </c>
      <c r="I8" s="57">
        <f t="shared" si="1"/>
        <v>8.9232217757128682E-2</v>
      </c>
      <c r="J8" s="57">
        <f t="shared" si="1"/>
        <v>9.2219459896415376E-2</v>
      </c>
      <c r="K8" s="57">
        <f t="shared" si="1"/>
        <v>4.9599930245204801E-2</v>
      </c>
      <c r="L8" s="57">
        <f t="shared" si="1"/>
        <v>4.1025762924179997E-2</v>
      </c>
      <c r="M8" s="57">
        <f t="shared" si="1"/>
        <v>-8.3865624463432022E-3</v>
      </c>
      <c r="N8" s="57">
        <f t="shared" si="1"/>
        <v>4.1978807706004682E-3</v>
      </c>
      <c r="O8" s="57">
        <f>(N7-C7)/C7</f>
        <v>0.98922493223853181</v>
      </c>
    </row>
    <row r="9" spans="1:27" ht="5.25" customHeight="1" thickBot="1">
      <c r="A9" s="58"/>
    </row>
    <row r="10" spans="1:27" ht="15" thickBot="1">
      <c r="A10" s="4" t="s">
        <v>167</v>
      </c>
      <c r="C10" s="54">
        <f>Input!$F$4</f>
        <v>22384.666666666668</v>
      </c>
      <c r="E10" s="54">
        <f>AVERAGE(Input!C45:C47)</f>
        <v>22809.333333333332</v>
      </c>
      <c r="F10" s="54">
        <f>AVERAGE(Input!D45:D47)</f>
        <v>23056.002666666667</v>
      </c>
      <c r="G10" s="54">
        <f>AVERAGE(Input!E45:E47)</f>
        <v>23287.934604666661</v>
      </c>
      <c r="H10" s="54">
        <f>AVERAGE(Input!F45:F47)</f>
        <v>23525.451455587332</v>
      </c>
      <c r="I10" s="54">
        <f>AVERAGE(Input!G45:G47)</f>
        <v>23765.059962593281</v>
      </c>
      <c r="J10" s="54">
        <f>AVERAGE(Input!H45:H47)</f>
        <v>24007.450482159027</v>
      </c>
      <c r="K10" s="54">
        <f>AVERAGE(Input!I45:I47)</f>
        <v>24251.980320930012</v>
      </c>
      <c r="L10" s="54">
        <f>AVERAGE(Input!J45:J47)</f>
        <v>24499.673739296773</v>
      </c>
      <c r="M10" s="54">
        <f>AVERAGE(Input!K45:K47)</f>
        <v>24749.555288349657</v>
      </c>
      <c r="N10" s="54">
        <f>AVERAGE(Input!L45:L47)</f>
        <v>25002.649813547916</v>
      </c>
    </row>
    <row r="11" spans="1:27" ht="5.25" customHeight="1" thickBot="1">
      <c r="A11" s="58"/>
    </row>
    <row r="12" spans="1:27" ht="15" thickBot="1">
      <c r="A12" s="4" t="s">
        <v>168</v>
      </c>
      <c r="C12" s="54">
        <f>Input!$N$50</f>
        <v>0</v>
      </c>
      <c r="E12" s="54">
        <f>Input!C$50</f>
        <v>87612.616000000009</v>
      </c>
      <c r="F12" s="54">
        <f>Input!D$50</f>
        <v>90503.83232799999</v>
      </c>
      <c r="G12" s="54">
        <f>Input!E$50</f>
        <v>93671.466459479983</v>
      </c>
      <c r="H12" s="54">
        <f>Input!F$50</f>
        <v>96949.967785561777</v>
      </c>
      <c r="I12" s="54">
        <f>Input!G$50</f>
        <v>100343.21665805645</v>
      </c>
      <c r="J12" s="54">
        <f>Input!H$50</f>
        <v>103754.88602443035</v>
      </c>
      <c r="K12" s="54">
        <f>Input!I$50</f>
        <v>107282.552149261</v>
      </c>
      <c r="L12" s="54">
        <f>Input!J$50</f>
        <v>110930.15892233588</v>
      </c>
      <c r="M12" s="54">
        <f>Input!K$50</f>
        <v>114701.78432569531</v>
      </c>
      <c r="N12" s="54">
        <f>Input!L$50</f>
        <v>118601.64499276894</v>
      </c>
    </row>
    <row r="13" spans="1:27" ht="15" thickBot="1">
      <c r="A13" s="9" t="s">
        <v>169</v>
      </c>
      <c r="C13" s="59" t="e">
        <f>C7/C12</f>
        <v>#DIV/0!</v>
      </c>
      <c r="E13" s="59">
        <f t="shared" ref="E13:N13" si="2">E7/E12</f>
        <v>2.4675772876238657E-2</v>
      </c>
      <c r="F13" s="60">
        <f t="shared" si="2"/>
        <v>2.6559325811385707E-2</v>
      </c>
      <c r="G13" s="59">
        <f t="shared" si="2"/>
        <v>2.8136690968630099E-2</v>
      </c>
      <c r="H13" s="59">
        <f t="shared" si="2"/>
        <v>3.0271958377650125E-2</v>
      </c>
      <c r="I13" s="59">
        <f t="shared" si="2"/>
        <v>3.1858156869120129E-2</v>
      </c>
      <c r="J13" s="59">
        <f t="shared" si="2"/>
        <v>3.3651933161398133E-2</v>
      </c>
      <c r="K13" s="59">
        <f t="shared" si="2"/>
        <v>3.4159638973713505E-2</v>
      </c>
      <c r="L13" s="59">
        <f t="shared" si="2"/>
        <v>3.4391744897315918E-2</v>
      </c>
      <c r="M13" s="59">
        <f t="shared" si="2"/>
        <v>3.2981930736069504E-2</v>
      </c>
      <c r="N13" s="59">
        <f t="shared" si="2"/>
        <v>3.2031320066618692E-2</v>
      </c>
    </row>
    <row r="14" spans="1:27" ht="5.25" customHeight="1" thickBot="1">
      <c r="A14" s="58"/>
    </row>
    <row r="15" spans="1:27" ht="15" thickBot="1">
      <c r="A15" s="2" t="s">
        <v>170</v>
      </c>
      <c r="C15" s="3" t="s">
        <v>96</v>
      </c>
      <c r="E15" s="3" t="s">
        <v>86</v>
      </c>
      <c r="F15" s="3" t="s">
        <v>87</v>
      </c>
      <c r="G15" s="3" t="s">
        <v>88</v>
      </c>
      <c r="H15" s="3" t="s">
        <v>89</v>
      </c>
      <c r="I15" s="3" t="s">
        <v>90</v>
      </c>
      <c r="J15" s="3" t="s">
        <v>91</v>
      </c>
      <c r="K15" s="3" t="s">
        <v>92</v>
      </c>
      <c r="L15" s="3" t="s">
        <v>93</v>
      </c>
      <c r="M15" s="3" t="s">
        <v>94</v>
      </c>
      <c r="N15" s="3" t="s">
        <v>95</v>
      </c>
      <c r="O15" s="3" t="s">
        <v>171</v>
      </c>
    </row>
    <row r="16" spans="1:27" ht="15" thickBot="1">
      <c r="A16" s="4" t="s">
        <v>172</v>
      </c>
      <c r="C16" s="54">
        <f>('4. Financials - water services'!C$3+'4. Financials - water services'!C$4)</f>
        <v>38152.067020433591</v>
      </c>
      <c r="E16" s="54">
        <f>('4. Financials - water services'!E$3+'4. Financials - water services'!E$4)</f>
        <v>43567.032749999998</v>
      </c>
      <c r="F16" s="54">
        <f>('4. Financials - water services'!F$3+'4. Financials - water services'!F$4)</f>
        <v>48985.606420000011</v>
      </c>
      <c r="G16" s="54">
        <f>('4. Financials - water services'!G$3+'4. Financials - water services'!G$4)</f>
        <v>54263.468890000004</v>
      </c>
      <c r="H16" s="54">
        <f>('4. Financials - water services'!H$3+'4. Financials - water services'!H$4)</f>
        <v>61070.331249853873</v>
      </c>
      <c r="I16" s="54">
        <f>('4. Financials - water services'!I$3+'4. Financials - water services'!I$4)</f>
        <v>67154.593623869601</v>
      </c>
      <c r="J16" s="54">
        <f>('4. Financials - water services'!J$3+'4. Financials - water services'!J$4)</f>
        <v>74126.516058467794</v>
      </c>
      <c r="K16" s="54">
        <f>('4. Financials - water services'!K$3+'4. Financials - water services'!K$4)</f>
        <v>78601.63104226788</v>
      </c>
      <c r="L16" s="54">
        <f>('4. Financials - water services'!L$3+'4. Financials - water services'!L$4)</f>
        <v>82687.62828374948</v>
      </c>
      <c r="M16" s="54">
        <f>('4. Financials - water services'!M$3+'4. Financials - water services'!M$4)</f>
        <v>82788.288623784567</v>
      </c>
      <c r="N16" s="54">
        <f>('4. Financials - water services'!N$3+'4. Financials - water services'!N$4)</f>
        <v>83985.176952380149</v>
      </c>
      <c r="O16" s="61">
        <f>SUM(E16:N16)</f>
        <v>677230.27389437333</v>
      </c>
    </row>
    <row r="17" spans="1:15" ht="15" thickBot="1">
      <c r="A17" s="9" t="s">
        <v>166</v>
      </c>
      <c r="C17" s="59"/>
      <c r="E17" s="60">
        <f>(E16-C16)/C16</f>
        <v>0.14193112332986427</v>
      </c>
      <c r="F17" s="59">
        <f t="shared" ref="F17:N17" si="3">(F16-E16)/E16</f>
        <v>0.12437325491256948</v>
      </c>
      <c r="G17" s="59">
        <f t="shared" si="3"/>
        <v>0.10774312814968294</v>
      </c>
      <c r="H17" s="59">
        <f t="shared" si="3"/>
        <v>0.1254409734411262</v>
      </c>
      <c r="I17" s="59">
        <f t="shared" si="3"/>
        <v>9.9627138898649534E-2</v>
      </c>
      <c r="J17" s="59">
        <f t="shared" si="3"/>
        <v>0.10381899522239198</v>
      </c>
      <c r="K17" s="59">
        <f t="shared" si="3"/>
        <v>6.0371311397804106E-2</v>
      </c>
      <c r="L17" s="59">
        <f t="shared" si="3"/>
        <v>5.1983619007655996E-2</v>
      </c>
      <c r="M17" s="59">
        <f t="shared" si="3"/>
        <v>1.2173567210038061E-3</v>
      </c>
      <c r="N17" s="59">
        <f t="shared" si="3"/>
        <v>1.4457217904752328E-2</v>
      </c>
      <c r="O17" s="59">
        <f>(N16-C16)/C16</f>
        <v>1.2013270449383289</v>
      </c>
    </row>
    <row r="18" spans="1:15" ht="5.25" customHeight="1" thickBot="1">
      <c r="A18" s="58"/>
    </row>
    <row r="19" spans="1:15" ht="15" thickBot="1">
      <c r="A19" s="2" t="s">
        <v>173</v>
      </c>
      <c r="C19" s="3" t="s">
        <v>96</v>
      </c>
      <c r="E19" s="3" t="s">
        <v>86</v>
      </c>
      <c r="F19" s="3" t="s">
        <v>87</v>
      </c>
      <c r="G19" s="3" t="s">
        <v>88</v>
      </c>
      <c r="H19" s="3" t="s">
        <v>89</v>
      </c>
      <c r="I19" s="3" t="s">
        <v>90</v>
      </c>
      <c r="J19" s="3" t="s">
        <v>91</v>
      </c>
      <c r="K19" s="3" t="s">
        <v>92</v>
      </c>
      <c r="L19" s="3" t="s">
        <v>93</v>
      </c>
      <c r="M19" s="3" t="s">
        <v>94</v>
      </c>
      <c r="N19" s="3" t="s">
        <v>95</v>
      </c>
      <c r="O19" s="3" t="s">
        <v>171</v>
      </c>
    </row>
    <row r="20" spans="1:15" ht="15" thickBot="1">
      <c r="A20" s="4" t="s">
        <v>174</v>
      </c>
      <c r="C20" s="54">
        <f>'4. Financials - water services'!C$50-'4. Financials - water services'!C$41</f>
        <v>11952.24070763358</v>
      </c>
      <c r="E20" s="54">
        <f>'4. Financials - water services'!E$50-'4. Financials - water services'!E$41</f>
        <v>-2711.7661199999975</v>
      </c>
      <c r="F20" s="54">
        <f>'4. Financials - water services'!F$50-'4. Financials - water services'!F$41</f>
        <v>58.015530000011154</v>
      </c>
      <c r="G20" s="54">
        <f>'4. Financials - water services'!G$50-'4. Financials - water services'!G$41</f>
        <v>2116.6401800000162</v>
      </c>
      <c r="H20" s="54">
        <f>'4. Financials - water services'!H$50-'4. Financials - water services'!H$41</f>
        <v>-840.24639733551192</v>
      </c>
      <c r="I20" s="54">
        <f>'4. Financials - water services'!I$50-'4. Financials - water services'!I$41</f>
        <v>-837.63903730442723</v>
      </c>
      <c r="J20" s="54">
        <f>'4. Financials - water services'!J$50-'4. Financials - water services'!J$41</f>
        <v>3449.318942851794</v>
      </c>
      <c r="K20" s="54">
        <f>'4. Financials - water services'!K$50-'4. Financials - water services'!K$41</f>
        <v>6179.7400204100995</v>
      </c>
      <c r="L20" s="54">
        <f>'4. Financials - water services'!L$50-'4. Financials - water services'!L$41</f>
        <v>7553.118088143252</v>
      </c>
      <c r="M20" s="54">
        <f>'4. Financials - water services'!M$50-'4. Financials - water services'!M$41</f>
        <v>6302.7068622438965</v>
      </c>
      <c r="N20" s="54">
        <f>'4. Financials - water services'!N$50-'4. Financials - water services'!N$41</f>
        <v>5858.686367035014</v>
      </c>
      <c r="O20" s="61">
        <f>SUM(E20:N20)</f>
        <v>27128.574436044146</v>
      </c>
    </row>
    <row r="21" spans="1:15" ht="15" thickBot="1">
      <c r="A21" s="4" t="s">
        <v>175</v>
      </c>
      <c r="C21" s="54">
        <f>'4. Financials - water services'!C$40</f>
        <v>41466.438477633586</v>
      </c>
      <c r="E21" s="54">
        <f>'4. Financials - water services'!E$40</f>
        <v>47928.156749999995</v>
      </c>
      <c r="F21" s="54">
        <f>'4. Financials - water services'!F$40</f>
        <v>52387.65112000001</v>
      </c>
      <c r="G21" s="54">
        <f>'4. Financials - water services'!G$40</f>
        <v>56352.80909000001</v>
      </c>
      <c r="H21" s="54">
        <f>'4. Financials - water services'!H$40</f>
        <v>63213.148929853873</v>
      </c>
      <c r="I21" s="54">
        <f>'4. Financials - water services'!I$40</f>
        <v>69351.621263869602</v>
      </c>
      <c r="J21" s="54">
        <f>'4. Financials - water services'!J$40</f>
        <v>76375.630218467792</v>
      </c>
      <c r="K21" s="54">
        <f>'4. Financials - water services'!K$40</f>
        <v>80902.82132226789</v>
      </c>
      <c r="L21" s="54">
        <f>'4. Financials - water services'!L$40</f>
        <v>85039.727323749481</v>
      </c>
      <c r="M21" s="54">
        <f>'4. Financials - water services'!M$40</f>
        <v>85191.402103784567</v>
      </c>
      <c r="N21" s="54">
        <f>'4. Financials - water services'!N$40</f>
        <v>86447.820632380157</v>
      </c>
      <c r="O21" s="61">
        <f>SUM(E21:N21)</f>
        <v>703190.78875437344</v>
      </c>
    </row>
    <row r="22" spans="1:15" ht="15" thickBot="1">
      <c r="A22" s="9" t="s">
        <v>173</v>
      </c>
      <c r="C22" s="59">
        <f>C20/C21</f>
        <v>0.28823890226503179</v>
      </c>
      <c r="E22" s="59">
        <f t="shared" ref="E22:O22" si="4">E20/E21</f>
        <v>-5.657981245022526E-2</v>
      </c>
      <c r="F22" s="59">
        <f t="shared" si="4"/>
        <v>1.1074275856941902E-3</v>
      </c>
      <c r="G22" s="59">
        <f t="shared" si="4"/>
        <v>3.7560508769306784E-2</v>
      </c>
      <c r="H22" s="59">
        <f t="shared" si="4"/>
        <v>-1.3292272439519083E-2</v>
      </c>
      <c r="I22" s="59">
        <f t="shared" si="4"/>
        <v>-1.2078146437519774E-2</v>
      </c>
      <c r="J22" s="59">
        <f t="shared" si="4"/>
        <v>4.5162559483767656E-2</v>
      </c>
      <c r="K22" s="59">
        <f t="shared" si="4"/>
        <v>7.6384728238261979E-2</v>
      </c>
      <c r="L22" s="59">
        <f t="shared" si="4"/>
        <v>8.8818700692539193E-2</v>
      </c>
      <c r="M22" s="59">
        <f t="shared" si="4"/>
        <v>7.3982898586005347E-2</v>
      </c>
      <c r="N22" s="59">
        <f t="shared" si="4"/>
        <v>6.7771359927615876E-2</v>
      </c>
      <c r="O22" s="59">
        <f t="shared" si="4"/>
        <v>3.8579251705073508E-2</v>
      </c>
    </row>
    <row r="23" spans="1:15" ht="5.25" customHeight="1" thickBot="1">
      <c r="A23" s="58"/>
    </row>
    <row r="24" spans="1:15" ht="15" thickBot="1">
      <c r="A24" s="2" t="s">
        <v>176</v>
      </c>
      <c r="C24" s="3" t="s">
        <v>96</v>
      </c>
      <c r="E24" s="3" t="s">
        <v>86</v>
      </c>
      <c r="F24" s="3" t="s">
        <v>87</v>
      </c>
      <c r="G24" s="3" t="s">
        <v>88</v>
      </c>
      <c r="H24" s="3" t="s">
        <v>89</v>
      </c>
      <c r="I24" s="3" t="s">
        <v>90</v>
      </c>
      <c r="J24" s="3" t="s">
        <v>91</v>
      </c>
      <c r="K24" s="3" t="s">
        <v>92</v>
      </c>
      <c r="L24" s="3" t="s">
        <v>93</v>
      </c>
      <c r="M24" s="3" t="s">
        <v>94</v>
      </c>
      <c r="N24" s="3" t="s">
        <v>95</v>
      </c>
      <c r="O24" s="3" t="s">
        <v>171</v>
      </c>
    </row>
    <row r="25" spans="1:15" ht="15" thickBot="1">
      <c r="A25" s="4" t="s">
        <v>177</v>
      </c>
      <c r="C25" s="54">
        <f>'4. Financials - water services'!C$50+'4. Financials - water services'!C$47+'4. Financials - water services'!C$45-'4. Financials - water services'!C$41</f>
        <v>16507.750987633579</v>
      </c>
      <c r="E25" s="54">
        <f>'4. Financials - water services'!E$50+'4. Financials - water services'!E$47+'4. Financials - water services'!E$45-'4. Financials - water services'!E$41</f>
        <v>19130.033910000002</v>
      </c>
      <c r="F25" s="54">
        <f>'4. Financials - water services'!F$50+'4. Financials - water services'!F$47+'4. Financials - water services'!F$45-'4. Financials - water services'!F$41</f>
        <v>23009.861550000012</v>
      </c>
      <c r="G25" s="54">
        <f>'4. Financials - water services'!G$50+'4. Financials - water services'!G$47+'4. Financials - water services'!G$45-'4. Financials - water services'!G$41</f>
        <v>28768.617510000015</v>
      </c>
      <c r="H25" s="54">
        <f>'4. Financials - water services'!H$50+'4. Financials - water services'!H$47+'4. Financials - water services'!H$45-'4. Financials - water services'!H$41</f>
        <v>34049.96786985387</v>
      </c>
      <c r="I25" s="54">
        <f>'4. Financials - water services'!I$50+'4. Financials - water services'!I$47+'4. Financials - water services'!I$45-'4. Financials - water services'!I$41</f>
        <v>38044.305126369611</v>
      </c>
      <c r="J25" s="54">
        <f>'4. Financials - water services'!J$50+'4. Financials - water services'!J$47+'4. Financials - water services'!J$45-'4. Financials - water services'!J$41</f>
        <v>45416.538253077466</v>
      </c>
      <c r="K25" s="54">
        <f>'4. Financials - water services'!K$50+'4. Financials - water services'!K$47+'4. Financials - water services'!K$45-'4. Financials - water services'!K$41</f>
        <v>50281.590872887216</v>
      </c>
      <c r="L25" s="54">
        <f>'4. Financials - water services'!L$50+'4. Financials - water services'!L$47+'4. Financials - water services'!L$45-'4. Financials - water services'!L$41</f>
        <v>53270.477372681096</v>
      </c>
      <c r="M25" s="54">
        <f>'4. Financials - water services'!M$50+'4. Financials - water services'!M$47+'4. Financials - water services'!M$45-'4. Financials - water services'!M$41</f>
        <v>53747.11723980715</v>
      </c>
      <c r="N25" s="54">
        <f>'4. Financials - water services'!N$50+'4. Financials - water services'!N$47+'4. Financials - water services'!N$45-'4. Financials - water services'!N$41</f>
        <v>53843.135537039809</v>
      </c>
      <c r="O25" s="61">
        <f>SUM(E25:N25)</f>
        <v>399561.64524171629</v>
      </c>
    </row>
    <row r="26" spans="1:15" ht="15" thickBot="1">
      <c r="A26" s="4" t="s">
        <v>175</v>
      </c>
      <c r="C26" s="54">
        <f>'4. Financials - water services'!C$40</f>
        <v>41466.438477633586</v>
      </c>
      <c r="E26" s="54">
        <f>'4. Financials - water services'!E$40</f>
        <v>47928.156749999995</v>
      </c>
      <c r="F26" s="54">
        <f>'4. Financials - water services'!F$40</f>
        <v>52387.65112000001</v>
      </c>
      <c r="G26" s="54">
        <f>'4. Financials - water services'!G$40</f>
        <v>56352.80909000001</v>
      </c>
      <c r="H26" s="54">
        <f>'4. Financials - water services'!H$40</f>
        <v>63213.148929853873</v>
      </c>
      <c r="I26" s="54">
        <f>'4. Financials - water services'!I$40</f>
        <v>69351.621263869602</v>
      </c>
      <c r="J26" s="54">
        <f>'4. Financials - water services'!J$40</f>
        <v>76375.630218467792</v>
      </c>
      <c r="K26" s="54">
        <f>'4. Financials - water services'!K$40</f>
        <v>80902.82132226789</v>
      </c>
      <c r="L26" s="54">
        <f>'4. Financials - water services'!L$40</f>
        <v>85039.727323749481</v>
      </c>
      <c r="M26" s="54">
        <f>'4. Financials - water services'!M$40</f>
        <v>85191.402103784567</v>
      </c>
      <c r="N26" s="54">
        <f>'4. Financials - water services'!N$40</f>
        <v>86447.820632380157</v>
      </c>
      <c r="O26" s="61">
        <f>SUM(E26:N26)</f>
        <v>703190.78875437344</v>
      </c>
    </row>
    <row r="27" spans="1:15" ht="15" thickBot="1">
      <c r="A27" s="9" t="s">
        <v>176</v>
      </c>
      <c r="C27" s="59">
        <f>C25/C26</f>
        <v>0.39809907948900958</v>
      </c>
      <c r="E27" s="59">
        <f t="shared" ref="E27:O27" si="5">E25/E26</f>
        <v>0.3991397793531879</v>
      </c>
      <c r="F27" s="59">
        <f t="shared" si="5"/>
        <v>0.43922300500347394</v>
      </c>
      <c r="G27" s="59">
        <f t="shared" si="5"/>
        <v>0.51050902296732359</v>
      </c>
      <c r="H27" s="59">
        <f t="shared" si="5"/>
        <v>0.53865324614089882</v>
      </c>
      <c r="I27" s="59">
        <f t="shared" si="5"/>
        <v>0.54857124365727994</v>
      </c>
      <c r="J27" s="59">
        <f t="shared" si="5"/>
        <v>0.59464698521198778</v>
      </c>
      <c r="K27" s="59">
        <f t="shared" si="5"/>
        <v>0.62150602477255745</v>
      </c>
      <c r="L27" s="59">
        <f t="shared" si="5"/>
        <v>0.6264187227444693</v>
      </c>
      <c r="M27" s="59">
        <f t="shared" si="5"/>
        <v>0.63089837603951671</v>
      </c>
      <c r="N27" s="59">
        <f t="shared" si="5"/>
        <v>0.62283971004900218</v>
      </c>
      <c r="O27" s="59">
        <f t="shared" si="5"/>
        <v>0.56821228552992942</v>
      </c>
    </row>
    <row r="28" spans="1:15">
      <c r="A28" s="62"/>
    </row>
    <row r="30" spans="1:15">
      <c r="A30" s="42" t="s">
        <v>178</v>
      </c>
      <c r="B30" s="42"/>
      <c r="C30" s="42"/>
      <c r="D30" s="42"/>
      <c r="E30" s="42"/>
      <c r="F30" s="42"/>
      <c r="G30" s="42"/>
      <c r="H30" s="42"/>
      <c r="I30" s="42"/>
      <c r="J30" s="42"/>
      <c r="K30" s="42"/>
      <c r="L30" s="42"/>
      <c r="M30" s="42"/>
      <c r="N30" s="42"/>
      <c r="O30" s="42"/>
    </row>
    <row r="31" spans="1:15" ht="5.25" customHeight="1" thickBot="1">
      <c r="O31" s="63"/>
    </row>
    <row r="32" spans="1:15" ht="15" thickBot="1">
      <c r="A32" s="2" t="s">
        <v>179</v>
      </c>
      <c r="C32" s="3" t="s">
        <v>96</v>
      </c>
      <c r="E32" s="3" t="s">
        <v>86</v>
      </c>
      <c r="F32" s="3" t="s">
        <v>87</v>
      </c>
      <c r="G32" s="3" t="s">
        <v>88</v>
      </c>
      <c r="H32" s="3" t="s">
        <v>89</v>
      </c>
      <c r="I32" s="3" t="s">
        <v>90</v>
      </c>
      <c r="J32" s="3" t="s">
        <v>91</v>
      </c>
      <c r="K32" s="3" t="s">
        <v>92</v>
      </c>
      <c r="L32" s="3" t="s">
        <v>93</v>
      </c>
      <c r="M32" s="3" t="s">
        <v>94</v>
      </c>
      <c r="N32" s="3" t="s">
        <v>95</v>
      </c>
      <c r="O32" s="3" t="s">
        <v>171</v>
      </c>
    </row>
    <row r="33" spans="1:15" ht="15" thickBot="1">
      <c r="A33" s="4" t="s">
        <v>180</v>
      </c>
      <c r="C33" s="54">
        <f>'4. Financials - water services'!C$30</f>
        <v>18122.857540000001</v>
      </c>
      <c r="E33" s="54">
        <f>'4. Financials - water services'!E$30</f>
        <v>29033.455389999999</v>
      </c>
      <c r="F33" s="54">
        <f>'4. Financials - water services'!F$30</f>
        <v>30721.534209999998</v>
      </c>
      <c r="G33" s="54">
        <f>'4. Financials - water services'!G$30</f>
        <v>27123.644809999998</v>
      </c>
      <c r="H33" s="54">
        <f>'4. Financials - water services'!H$30</f>
        <v>30566.774940000003</v>
      </c>
      <c r="I33" s="54">
        <f>'4. Financials - water services'!I$30</f>
        <v>21734.189009999998</v>
      </c>
      <c r="J33" s="54">
        <f>'4. Financials - water services'!J$30</f>
        <v>25574.709673745951</v>
      </c>
      <c r="K33" s="54">
        <f>'4. Financials - water services'!K$30</f>
        <v>30246.77150118757</v>
      </c>
      <c r="L33" s="54">
        <f>'4. Financials - water services'!L$30</f>
        <v>24077.780577564747</v>
      </c>
      <c r="M33" s="54">
        <f>'4. Financials - water services'!M$30</f>
        <v>28610.227769793528</v>
      </c>
      <c r="N33" s="54">
        <f>'4. Financials - water services'!N$30</f>
        <v>24662.112988436023</v>
      </c>
      <c r="O33" s="61">
        <f>SUM(E33:N33)</f>
        <v>272351.20087072789</v>
      </c>
    </row>
    <row r="34" spans="1:15" ht="15" thickBot="1">
      <c r="A34" s="4" t="s">
        <v>181</v>
      </c>
      <c r="C34" s="54">
        <f>'4. Financials - water services'!C$47</f>
        <v>0</v>
      </c>
      <c r="E34" s="54">
        <f>'4. Financials - water services'!E$47</f>
        <v>16562.728029999998</v>
      </c>
      <c r="F34" s="54">
        <f>'4. Financials - water services'!F$47</f>
        <v>17165.91257</v>
      </c>
      <c r="G34" s="54">
        <f>'4. Financials - water services'!G$47</f>
        <v>19297.832599999998</v>
      </c>
      <c r="H34" s="54">
        <f>'4. Financials - water services'!H$47</f>
        <v>20117.763959999997</v>
      </c>
      <c r="I34" s="54">
        <f>'4. Financials - water services'!I$47</f>
        <v>21732.089459999999</v>
      </c>
      <c r="J34" s="54">
        <f>'4. Financials - water services'!J$47</f>
        <v>23447.690239999996</v>
      </c>
      <c r="K34" s="54">
        <f>'4. Financials - water services'!K$47</f>
        <v>24752.541606783605</v>
      </c>
      <c r="L34" s="54">
        <f>'4. Financials - water services'!L$47</f>
        <v>25798.23893388885</v>
      </c>
      <c r="M34" s="54">
        <f>'4. Financials - water services'!M$47</f>
        <v>27276.182436684921</v>
      </c>
      <c r="N34" s="54">
        <f>'4. Financials - water services'!N$47</f>
        <v>27729.016932181665</v>
      </c>
      <c r="O34" s="61">
        <f>SUM(E34:N34)</f>
        <v>223879.99676953905</v>
      </c>
    </row>
    <row r="35" spans="1:15" ht="15" thickBot="1">
      <c r="A35" s="9" t="s">
        <v>179</v>
      </c>
      <c r="C35" s="59" t="e">
        <f>C33/C34-1</f>
        <v>#DIV/0!</v>
      </c>
      <c r="D35" s="64"/>
      <c r="E35" s="59">
        <f t="shared" ref="E35:O35" si="6">E33/E34-1</f>
        <v>0.75293921009943676</v>
      </c>
      <c r="F35" s="59">
        <f t="shared" si="6"/>
        <v>0.78968255166873402</v>
      </c>
      <c r="G35" s="59">
        <f t="shared" si="6"/>
        <v>0.40552803893635181</v>
      </c>
      <c r="H35" s="59">
        <f t="shared" si="6"/>
        <v>0.51939226450691534</v>
      </c>
      <c r="I35" s="59">
        <f t="shared" si="6"/>
        <v>9.6610590705648036E-5</v>
      </c>
      <c r="J35" s="59">
        <f t="shared" si="6"/>
        <v>9.0713388481967305E-2</v>
      </c>
      <c r="K35" s="59">
        <f t="shared" si="6"/>
        <v>0.22196629266136592</v>
      </c>
      <c r="L35" s="59">
        <f t="shared" si="6"/>
        <v>-6.6688984497468518E-2</v>
      </c>
      <c r="M35" s="59">
        <f t="shared" si="6"/>
        <v>4.8908799323559071E-2</v>
      </c>
      <c r="N35" s="59">
        <f t="shared" si="6"/>
        <v>-0.11060269288473268</v>
      </c>
      <c r="O35" s="59">
        <f t="shared" si="6"/>
        <v>0.21650529212346226</v>
      </c>
    </row>
    <row r="36" spans="1:15" ht="5.25" customHeight="1" thickBot="1"/>
    <row r="37" spans="1:15" ht="15" thickBot="1">
      <c r="A37" s="2" t="s">
        <v>182</v>
      </c>
      <c r="C37" s="3" t="s">
        <v>96</v>
      </c>
      <c r="E37" s="3" t="s">
        <v>86</v>
      </c>
      <c r="F37" s="3" t="s">
        <v>87</v>
      </c>
      <c r="G37" s="3" t="s">
        <v>88</v>
      </c>
      <c r="H37" s="3" t="s">
        <v>89</v>
      </c>
      <c r="I37" s="3" t="s">
        <v>90</v>
      </c>
      <c r="J37" s="3" t="s">
        <v>91</v>
      </c>
      <c r="K37" s="3" t="s">
        <v>92</v>
      </c>
      <c r="L37" s="3" t="s">
        <v>93</v>
      </c>
      <c r="M37" s="3" t="s">
        <v>94</v>
      </c>
      <c r="N37" s="3" t="s">
        <v>95</v>
      </c>
      <c r="O37" s="3" t="s">
        <v>171</v>
      </c>
    </row>
    <row r="38" spans="1:15" ht="15" thickBot="1">
      <c r="A38" s="4" t="s">
        <v>183</v>
      </c>
      <c r="C38" s="54">
        <f>SUM('4. Financials - water services'!C$28:C$30)</f>
        <v>36310.56697</v>
      </c>
      <c r="E38" s="54">
        <f>SUM('4. Financials - water services'!E$28:E$30)</f>
        <v>41524.374409999997</v>
      </c>
      <c r="F38" s="54">
        <f>SUM('4. Financials - water services'!F$28:F$30)</f>
        <v>53223.330119999999</v>
      </c>
      <c r="G38" s="54">
        <f>SUM('4. Financials - water services'!G$28:G$30)</f>
        <v>57442.128289999993</v>
      </c>
      <c r="H38" s="54">
        <f>SUM('4. Financials - water services'!H$28:H$30)</f>
        <v>63763.496249500007</v>
      </c>
      <c r="I38" s="54">
        <f>SUM('4. Financials - water services'!I$28:I$30)</f>
        <v>53050.241678499995</v>
      </c>
      <c r="J38" s="54">
        <f>SUM('4. Financials - water services'!J$28:J$30)</f>
        <v>42078.48895198667</v>
      </c>
      <c r="K38" s="54">
        <f>SUM('4. Financials - water services'!K$28:K$30)</f>
        <v>44572.895025788021</v>
      </c>
      <c r="L38" s="54">
        <f>SUM('4. Financials - water services'!L$28:L$30)</f>
        <v>39657.01015690963</v>
      </c>
      <c r="M38" s="54">
        <f>SUM('4. Financials - water services'!M$28:M$30)</f>
        <v>36708.107215258475</v>
      </c>
      <c r="N38" s="54">
        <f>SUM('4. Financials - water services'!N$28:N$30)</f>
        <v>34531.708187991491</v>
      </c>
      <c r="O38" s="61">
        <f>SUM(E38:N38)</f>
        <v>466551.78028593422</v>
      </c>
    </row>
    <row r="39" spans="1:15" ht="15" thickBot="1">
      <c r="A39" s="4" t="s">
        <v>181</v>
      </c>
      <c r="C39" s="54">
        <f>'4. Financials - water services'!C$47</f>
        <v>0</v>
      </c>
      <c r="E39" s="54">
        <f>'4. Financials - water services'!E$47</f>
        <v>16562.728029999998</v>
      </c>
      <c r="F39" s="54">
        <f>'4. Financials - water services'!F$47</f>
        <v>17165.91257</v>
      </c>
      <c r="G39" s="54">
        <f>'4. Financials - water services'!G$47</f>
        <v>19297.832599999998</v>
      </c>
      <c r="H39" s="54">
        <f>'4. Financials - water services'!H$47</f>
        <v>20117.763959999997</v>
      </c>
      <c r="I39" s="54">
        <f>'4. Financials - water services'!I$47</f>
        <v>21732.089459999999</v>
      </c>
      <c r="J39" s="54">
        <f>'4. Financials - water services'!J$47</f>
        <v>23447.690239999996</v>
      </c>
      <c r="K39" s="54">
        <f>'4. Financials - water services'!K$47</f>
        <v>24752.541606783605</v>
      </c>
      <c r="L39" s="54">
        <f>'4. Financials - water services'!L$47</f>
        <v>25798.23893388885</v>
      </c>
      <c r="M39" s="54">
        <f>'4. Financials - water services'!M$47</f>
        <v>27276.182436684921</v>
      </c>
      <c r="N39" s="54">
        <f>'4. Financials - water services'!N$47</f>
        <v>27729.016932181665</v>
      </c>
      <c r="O39" s="61">
        <f>SUM(E39:N39)</f>
        <v>223879.99676953905</v>
      </c>
    </row>
    <row r="40" spans="1:15" ht="15" thickBot="1">
      <c r="A40" s="9" t="s">
        <v>182</v>
      </c>
      <c r="C40" s="59" t="e">
        <f>C38/C39-1</f>
        <v>#DIV/0!</v>
      </c>
      <c r="D40" s="64"/>
      <c r="E40" s="59">
        <f t="shared" ref="E40:O40" si="7">E38/E39-1</f>
        <v>1.5070975225087966</v>
      </c>
      <c r="F40" s="59">
        <f t="shared" si="7"/>
        <v>2.1005243620438643</v>
      </c>
      <c r="G40" s="59">
        <f t="shared" si="7"/>
        <v>1.9766103520868969</v>
      </c>
      <c r="H40" s="59">
        <f t="shared" si="7"/>
        <v>2.1695120976804629</v>
      </c>
      <c r="I40" s="59">
        <f t="shared" si="7"/>
        <v>1.4411017530617141</v>
      </c>
      <c r="J40" s="59">
        <f t="shared" si="7"/>
        <v>0.79456861299728065</v>
      </c>
      <c r="K40" s="59">
        <f t="shared" si="7"/>
        <v>0.80074013141230349</v>
      </c>
      <c r="L40" s="59">
        <f t="shared" si="7"/>
        <v>0.53719834359762242</v>
      </c>
      <c r="M40" s="59">
        <f t="shared" si="7"/>
        <v>0.34579343353739089</v>
      </c>
      <c r="N40" s="59">
        <f t="shared" si="7"/>
        <v>0.24532753081176772</v>
      </c>
      <c r="O40" s="59">
        <f t="shared" si="7"/>
        <v>1.0839368725121088</v>
      </c>
    </row>
    <row r="41" spans="1:15" ht="5.25" customHeight="1" thickBot="1"/>
    <row r="42" spans="1:15" ht="15" thickBot="1">
      <c r="A42" s="2" t="s">
        <v>184</v>
      </c>
      <c r="C42" s="3" t="s">
        <v>96</v>
      </c>
      <c r="E42" s="3" t="s">
        <v>86</v>
      </c>
      <c r="F42" s="3" t="s">
        <v>87</v>
      </c>
      <c r="G42" s="3" t="s">
        <v>88</v>
      </c>
      <c r="H42" s="3" t="s">
        <v>89</v>
      </c>
      <c r="I42" s="3" t="s">
        <v>90</v>
      </c>
      <c r="J42" s="3" t="s">
        <v>91</v>
      </c>
      <c r="K42" s="3" t="s">
        <v>92</v>
      </c>
      <c r="L42" s="3" t="s">
        <v>93</v>
      </c>
      <c r="M42" s="3" t="s">
        <v>94</v>
      </c>
      <c r="N42" s="3" t="s">
        <v>95</v>
      </c>
    </row>
    <row r="43" spans="1:15" ht="15" thickBot="1">
      <c r="A43" s="4" t="s">
        <v>185</v>
      </c>
      <c r="C43" s="54">
        <f>'4. Financials - water services'!C$82</f>
        <v>621550.10100000002</v>
      </c>
      <c r="E43" s="54">
        <f>'4. Financials - water services'!E$82</f>
        <v>655073.1052760001</v>
      </c>
      <c r="F43" s="54">
        <f>'4. Financials - water services'!F$82</f>
        <v>707349.12714151212</v>
      </c>
      <c r="G43" s="54">
        <f>'4. Financials - water services'!G$82</f>
        <v>762258.27295090433</v>
      </c>
      <c r="H43" s="54">
        <f>'4. Financials - water services'!H$82</f>
        <v>823589.19600005355</v>
      </c>
      <c r="I43" s="54">
        <f>'4. Financials - water services'!I$82</f>
        <v>877103.52681100124</v>
      </c>
      <c r="J43" s="54">
        <f>'4. Financials - water services'!J$82</f>
        <v>915148.26068351569</v>
      </c>
      <c r="K43" s="54">
        <f>'4. Financials - water services'!K$82</f>
        <v>959384.70254004339</v>
      </c>
      <c r="L43" s="54">
        <f>'4. Financials - water services'!L$82</f>
        <v>993382.14882548922</v>
      </c>
      <c r="M43" s="54">
        <f>'4. Financials - water services'!M$82</f>
        <v>1029887.7431098322</v>
      </c>
      <c r="N43" s="54">
        <f>'4. Financials - water services'!N$82</f>
        <v>1057913.7475261264</v>
      </c>
    </row>
    <row r="44" spans="1:15" ht="15" customHeight="1" thickBot="1">
      <c r="A44" s="4" t="s">
        <v>186</v>
      </c>
      <c r="C44" s="54">
        <f>SUM(Input!$C$13:$E$13)</f>
        <v>1007421.211</v>
      </c>
      <c r="E44" s="54">
        <f>Input!C$31</f>
        <v>1062933.3778374821</v>
      </c>
      <c r="F44" s="54">
        <f>Input!D$31</f>
        <v>1142291.9972462666</v>
      </c>
      <c r="G44" s="54">
        <f>Input!E$31</f>
        <v>1226954.0100188525</v>
      </c>
      <c r="H44" s="54">
        <f>Input!F$31</f>
        <v>1319041.9171235624</v>
      </c>
      <c r="I44" s="54">
        <f>Input!G$31</f>
        <v>1407761.9126920672</v>
      </c>
      <c r="J44" s="54">
        <f>Input!H$31</f>
        <v>1480897.518552348</v>
      </c>
      <c r="K44" s="54">
        <f>Input!I$31</f>
        <v>1565076.1004670325</v>
      </c>
      <c r="L44" s="54">
        <f>Input!J$31</f>
        <v>1637493.7832649683</v>
      </c>
      <c r="M44" s="54">
        <f>Input!K$31</f>
        <v>1718926.7429026652</v>
      </c>
      <c r="N44" s="54">
        <f>Input!L$31</f>
        <v>1788792.6620412739</v>
      </c>
    </row>
    <row r="45" spans="1:15" ht="15" thickBot="1">
      <c r="A45" s="9" t="s">
        <v>184</v>
      </c>
      <c r="C45" s="59">
        <f>C43/C44</f>
        <v>0.61697142586766518</v>
      </c>
      <c r="E45" s="60">
        <f t="shared" ref="E45:N45" si="8">E43/E44</f>
        <v>0.6162880185480053</v>
      </c>
      <c r="F45" s="59">
        <f t="shared" si="8"/>
        <v>0.61923670028917732</v>
      </c>
      <c r="G45" s="59">
        <f t="shared" si="8"/>
        <v>0.6212606721414049</v>
      </c>
      <c r="H45" s="59">
        <f t="shared" si="8"/>
        <v>0.62438440000152251</v>
      </c>
      <c r="I45" s="59">
        <f t="shared" si="8"/>
        <v>0.62304820076692768</v>
      </c>
      <c r="J45" s="59">
        <f t="shared" si="8"/>
        <v>0.61796866374529358</v>
      </c>
      <c r="K45" s="59">
        <f t="shared" si="8"/>
        <v>0.61299556120865595</v>
      </c>
      <c r="L45" s="59">
        <f t="shared" si="8"/>
        <v>0.60664789019522447</v>
      </c>
      <c r="M45" s="59">
        <f t="shared" si="8"/>
        <v>0.59914580267144635</v>
      </c>
      <c r="N45" s="59">
        <f t="shared" si="8"/>
        <v>0.59141216865172752</v>
      </c>
    </row>
    <row r="48" spans="1:15">
      <c r="A48" s="42" t="s">
        <v>187</v>
      </c>
      <c r="B48" s="42"/>
      <c r="C48" s="42"/>
      <c r="D48" s="42"/>
      <c r="E48" s="42"/>
      <c r="F48" s="42"/>
      <c r="G48" s="42"/>
      <c r="H48" s="42"/>
      <c r="I48" s="42"/>
      <c r="J48" s="42"/>
      <c r="K48" s="42"/>
      <c r="L48" s="42"/>
      <c r="M48" s="42"/>
      <c r="N48" s="42"/>
      <c r="O48" s="42"/>
    </row>
    <row r="49" spans="1:16" ht="5.25" customHeight="1" thickBot="1"/>
    <row r="50" spans="1:16" ht="15" thickBot="1">
      <c r="A50" s="2" t="s">
        <v>188</v>
      </c>
      <c r="C50" s="3" t="s">
        <v>96</v>
      </c>
      <c r="E50" s="3" t="s">
        <v>86</v>
      </c>
      <c r="F50" s="3" t="s">
        <v>87</v>
      </c>
      <c r="G50" s="3" t="s">
        <v>88</v>
      </c>
      <c r="H50" s="3" t="s">
        <v>89</v>
      </c>
      <c r="I50" s="3" t="s">
        <v>90</v>
      </c>
      <c r="J50" s="3" t="s">
        <v>91</v>
      </c>
      <c r="K50" s="3" t="s">
        <v>92</v>
      </c>
      <c r="L50" s="3" t="s">
        <v>93</v>
      </c>
      <c r="M50" s="3" t="s">
        <v>94</v>
      </c>
      <c r="N50" s="3" t="s">
        <v>95</v>
      </c>
    </row>
    <row r="51" spans="1:16" ht="15" thickBot="1">
      <c r="A51" s="4" t="s">
        <v>189</v>
      </c>
      <c r="C51" s="54">
        <f>'4. Financials - water services'!C$87+'4. Financials - water services'!C$89</f>
        <v>114435.31999999999</v>
      </c>
      <c r="E51" s="54">
        <f>'4. Financials - water services'!E$87+'4. Financials - water services'!E$89</f>
        <v>139503.78975</v>
      </c>
      <c r="F51" s="54">
        <f>'4. Financials - water services'!F$87+'4. Financials - water services'!F$89</f>
        <v>174678.09917999999</v>
      </c>
      <c r="G51" s="54">
        <f>'4. Financials - water services'!G$87+'4. Financials - water services'!G$89</f>
        <v>209876.32107000001</v>
      </c>
      <c r="H51" s="54">
        <f>'4. Financials - water services'!H$87+'4. Financials - water services'!H$89</f>
        <v>258528.31804683548</v>
      </c>
      <c r="I51" s="54">
        <f>'4. Financials - water services'!I$87+'4. Financials - water services'!I$89</f>
        <v>289847.31557263993</v>
      </c>
      <c r="J51" s="54">
        <f>'4. Financials - water services'!J$87+'4. Financials - water services'!J$89</f>
        <v>304190.88659177482</v>
      </c>
      <c r="K51" s="54">
        <f>'4. Financials - water services'!K$87+'4. Financials - water services'!K$89</f>
        <v>316991.5912803692</v>
      </c>
      <c r="L51" s="54">
        <f>'4. Financials - water services'!L$87+'4. Financials - water services'!L$89</f>
        <v>322455.33564524667</v>
      </c>
      <c r="M51" s="54">
        <f>'4. Financials - water services'!M$87+'4. Financials - water services'!M$89</f>
        <v>324740.64480157633</v>
      </c>
      <c r="N51" s="54">
        <f>'4. Financials - water services'!N$87+'4. Financials - water services'!N$89</f>
        <v>324838.74102035118</v>
      </c>
    </row>
    <row r="52" spans="1:16" ht="15" thickBot="1">
      <c r="A52" s="4" t="s">
        <v>190</v>
      </c>
      <c r="C52" s="54">
        <f>-'4. Financials - water services'!C$80</f>
        <v>15268</v>
      </c>
      <c r="E52" s="54">
        <f>-'4. Financials - water services'!E$80</f>
        <v>15268.142749999999</v>
      </c>
      <c r="F52" s="54">
        <f>-'4. Financials - water services'!F$80</f>
        <v>15268.326339999985</v>
      </c>
      <c r="G52" s="54">
        <f>-'4. Financials - water services'!G$80</f>
        <v>15267.850959999967</v>
      </c>
      <c r="H52" s="54">
        <f>-'4. Financials - water services'!H$80</f>
        <v>15267.923669999975</v>
      </c>
      <c r="I52" s="54">
        <f>-'4. Financials - water services'!I$80</f>
        <v>15267.808399999951</v>
      </c>
      <c r="J52" s="54">
        <f>-'4. Financials - water services'!J$80</f>
        <v>15267.808149999939</v>
      </c>
      <c r="K52" s="54">
        <f>-'4. Financials - water services'!K$80</f>
        <v>15267.807859999939</v>
      </c>
      <c r="L52" s="54">
        <f>-'4. Financials - water services'!L$80</f>
        <v>15267.807629999925</v>
      </c>
      <c r="M52" s="54">
        <f>-'4. Financials - water services'!M$80</f>
        <v>15267.807389999927</v>
      </c>
      <c r="N52" s="54">
        <f>-'4. Financials - water services'!N$80</f>
        <v>15267.807059999923</v>
      </c>
    </row>
    <row r="53" spans="1:16" ht="15" thickBot="1">
      <c r="A53" s="9" t="s">
        <v>188</v>
      </c>
      <c r="C53" s="56">
        <f>SUM(C51:C52)</f>
        <v>129703.31999999999</v>
      </c>
      <c r="E53" s="56">
        <f t="shared" ref="E53:N53" si="9">SUM(E51:E52)</f>
        <v>154771.9325</v>
      </c>
      <c r="F53" s="56">
        <f t="shared" si="9"/>
        <v>189946.42551999999</v>
      </c>
      <c r="G53" s="56">
        <f t="shared" si="9"/>
        <v>225144.17202999996</v>
      </c>
      <c r="H53" s="56">
        <f t="shared" si="9"/>
        <v>273796.24171683547</v>
      </c>
      <c r="I53" s="56">
        <f t="shared" si="9"/>
        <v>305115.12397263991</v>
      </c>
      <c r="J53" s="56">
        <f t="shared" si="9"/>
        <v>319458.69474177476</v>
      </c>
      <c r="K53" s="56">
        <f t="shared" si="9"/>
        <v>332259.39914036915</v>
      </c>
      <c r="L53" s="56">
        <f t="shared" si="9"/>
        <v>337723.14327524661</v>
      </c>
      <c r="M53" s="56">
        <f t="shared" si="9"/>
        <v>340008.45219157625</v>
      </c>
      <c r="N53" s="56">
        <f t="shared" si="9"/>
        <v>340106.54808035109</v>
      </c>
    </row>
    <row r="54" spans="1:16" ht="5.25" customHeight="1" thickBot="1"/>
    <row r="55" spans="1:16" ht="15" thickBot="1">
      <c r="A55" s="2" t="s">
        <v>191</v>
      </c>
      <c r="C55" s="3" t="s">
        <v>96</v>
      </c>
      <c r="E55" s="3" t="s">
        <v>86</v>
      </c>
      <c r="F55" s="3" t="s">
        <v>87</v>
      </c>
      <c r="G55" s="3" t="s">
        <v>88</v>
      </c>
      <c r="H55" s="3" t="s">
        <v>89</v>
      </c>
      <c r="I55" s="3" t="s">
        <v>90</v>
      </c>
      <c r="J55" s="3" t="s">
        <v>91</v>
      </c>
      <c r="K55" s="3" t="s">
        <v>92</v>
      </c>
      <c r="L55" s="3" t="s">
        <v>93</v>
      </c>
      <c r="M55" s="3" t="s">
        <v>94</v>
      </c>
      <c r="N55" s="3" t="s">
        <v>95</v>
      </c>
    </row>
    <row r="56" spans="1:16" ht="15" thickBot="1">
      <c r="A56" s="4" t="s">
        <v>192</v>
      </c>
      <c r="C56" s="54">
        <f>C53</f>
        <v>129703.31999999999</v>
      </c>
      <c r="E56" s="54">
        <f t="shared" ref="E56:N56" si="10">E53</f>
        <v>154771.9325</v>
      </c>
      <c r="F56" s="54">
        <f t="shared" si="10"/>
        <v>189946.42551999999</v>
      </c>
      <c r="G56" s="54">
        <f t="shared" si="10"/>
        <v>225144.17202999996</v>
      </c>
      <c r="H56" s="54">
        <f t="shared" si="10"/>
        <v>273796.24171683547</v>
      </c>
      <c r="I56" s="54">
        <f t="shared" si="10"/>
        <v>305115.12397263991</v>
      </c>
      <c r="J56" s="54">
        <f t="shared" si="10"/>
        <v>319458.69474177476</v>
      </c>
      <c r="K56" s="54">
        <f t="shared" si="10"/>
        <v>332259.39914036915</v>
      </c>
      <c r="L56" s="54">
        <f t="shared" si="10"/>
        <v>337723.14327524661</v>
      </c>
      <c r="M56" s="54">
        <f t="shared" si="10"/>
        <v>340008.45219157625</v>
      </c>
      <c r="N56" s="54">
        <f t="shared" si="10"/>
        <v>340106.54808035109</v>
      </c>
    </row>
    <row r="57" spans="1:16" ht="15" thickBot="1">
      <c r="A57" s="4" t="s">
        <v>193</v>
      </c>
      <c r="C57" s="54">
        <f>'4. Financials - water services'!C$40</f>
        <v>41466.438477633586</v>
      </c>
      <c r="E57" s="54">
        <f>'4. Financials - water services'!E$40</f>
        <v>47928.156749999995</v>
      </c>
      <c r="F57" s="54">
        <f>'4. Financials - water services'!F$40</f>
        <v>52387.65112000001</v>
      </c>
      <c r="G57" s="54">
        <f>'4. Financials - water services'!G$40</f>
        <v>56352.80909000001</v>
      </c>
      <c r="H57" s="54">
        <f>'4. Financials - water services'!H$40</f>
        <v>63213.148929853873</v>
      </c>
      <c r="I57" s="54">
        <f>'4. Financials - water services'!I$40</f>
        <v>69351.621263869602</v>
      </c>
      <c r="J57" s="54">
        <f>'4. Financials - water services'!J$40</f>
        <v>76375.630218467792</v>
      </c>
      <c r="K57" s="54">
        <f>'4. Financials - water services'!K$40</f>
        <v>80902.82132226789</v>
      </c>
      <c r="L57" s="54">
        <f>'4. Financials - water services'!L$40</f>
        <v>85039.727323749481</v>
      </c>
      <c r="M57" s="54">
        <f>'4. Financials - water services'!M$40</f>
        <v>85191.402103784567</v>
      </c>
      <c r="N57" s="54">
        <f>'4. Financials - water services'!N$40</f>
        <v>86447.820632380157</v>
      </c>
      <c r="P57" s="65"/>
    </row>
    <row r="58" spans="1:16" ht="15" thickBot="1">
      <c r="A58" s="9" t="s">
        <v>191</v>
      </c>
      <c r="C58" s="66">
        <f>C56/C57</f>
        <v>3.127910781871468</v>
      </c>
      <c r="D58" s="67"/>
      <c r="E58" s="66">
        <f t="shared" ref="E58:N58" si="11">E56/E57</f>
        <v>3.2292485877834225</v>
      </c>
      <c r="F58" s="66">
        <f t="shared" si="11"/>
        <v>3.6257862580039255</v>
      </c>
      <c r="G58" s="66">
        <f t="shared" si="11"/>
        <v>3.9952608515118819</v>
      </c>
      <c r="H58" s="66">
        <f t="shared" si="11"/>
        <v>4.3313178721829004</v>
      </c>
      <c r="I58" s="66">
        <f t="shared" si="11"/>
        <v>4.399538444987976</v>
      </c>
      <c r="J58" s="66">
        <f t="shared" si="11"/>
        <v>4.1827307195761634</v>
      </c>
      <c r="K58" s="66">
        <f t="shared" si="11"/>
        <v>4.1068950836318638</v>
      </c>
      <c r="L58" s="66">
        <f t="shared" si="11"/>
        <v>3.9713573162049514</v>
      </c>
      <c r="M58" s="66">
        <f t="shared" si="11"/>
        <v>3.9911122929677854</v>
      </c>
      <c r="N58" s="66">
        <f t="shared" si="11"/>
        <v>3.9342408587332245</v>
      </c>
      <c r="P58" s="65"/>
    </row>
    <row r="59" spans="1:16" ht="5.25" customHeight="1" thickBot="1"/>
    <row r="60" spans="1:16" ht="15" thickBot="1">
      <c r="A60" s="2" t="s">
        <v>194</v>
      </c>
      <c r="C60" s="3" t="s">
        <v>96</v>
      </c>
      <c r="E60" s="3" t="s">
        <v>86</v>
      </c>
      <c r="F60" s="3" t="s">
        <v>87</v>
      </c>
      <c r="G60" s="3" t="s">
        <v>88</v>
      </c>
      <c r="H60" s="3" t="s">
        <v>89</v>
      </c>
      <c r="I60" s="3" t="s">
        <v>90</v>
      </c>
      <c r="J60" s="3" t="s">
        <v>91</v>
      </c>
      <c r="K60" s="3" t="s">
        <v>92</v>
      </c>
      <c r="L60" s="3" t="s">
        <v>93</v>
      </c>
      <c r="M60" s="3" t="s">
        <v>94</v>
      </c>
      <c r="N60" s="3" t="s">
        <v>95</v>
      </c>
    </row>
    <row r="61" spans="1:16" ht="15" thickBot="1">
      <c r="A61" s="4" t="s">
        <v>193</v>
      </c>
      <c r="C61" s="54">
        <f>'4. Financials - water services'!C$40</f>
        <v>41466.438477633586</v>
      </c>
      <c r="E61" s="54">
        <f>'4. Financials - water services'!E$40</f>
        <v>47928.156749999995</v>
      </c>
      <c r="F61" s="54">
        <f>'4. Financials - water services'!F$40</f>
        <v>52387.65112000001</v>
      </c>
      <c r="G61" s="54">
        <f>'4. Financials - water services'!G$40</f>
        <v>56352.80909000001</v>
      </c>
      <c r="H61" s="54">
        <f>'4. Financials - water services'!H$40</f>
        <v>63213.148929853873</v>
      </c>
      <c r="I61" s="54">
        <f>'4. Financials - water services'!I$40</f>
        <v>69351.621263869602</v>
      </c>
      <c r="J61" s="54">
        <f>'4. Financials - water services'!J$40</f>
        <v>76375.630218467792</v>
      </c>
      <c r="K61" s="54">
        <f>'4. Financials - water services'!K$40</f>
        <v>80902.82132226789</v>
      </c>
      <c r="L61" s="54">
        <f>'4. Financials - water services'!L$40</f>
        <v>85039.727323749481</v>
      </c>
      <c r="M61" s="54">
        <f>'4. Financials - water services'!M$40</f>
        <v>85191.402103784567</v>
      </c>
      <c r="N61" s="54">
        <f>'4. Financials - water services'!N$40</f>
        <v>86447.820632380157</v>
      </c>
    </row>
    <row r="62" spans="1:16" ht="15" thickBot="1">
      <c r="A62" s="4" t="s">
        <v>195</v>
      </c>
      <c r="C62" s="68">
        <f>Input!$F$11</f>
        <v>5</v>
      </c>
      <c r="D62" s="67"/>
      <c r="E62" s="68">
        <f>Input!$F$11</f>
        <v>5</v>
      </c>
      <c r="F62" s="68">
        <f>Input!$F$11</f>
        <v>5</v>
      </c>
      <c r="G62" s="68">
        <f>Input!$F$11</f>
        <v>5</v>
      </c>
      <c r="H62" s="68">
        <f>Input!$F$11</f>
        <v>5</v>
      </c>
      <c r="I62" s="68">
        <f>Input!$F$11</f>
        <v>5</v>
      </c>
      <c r="J62" s="68">
        <f>Input!$F$11</f>
        <v>5</v>
      </c>
      <c r="K62" s="68">
        <f>Input!$F$11</f>
        <v>5</v>
      </c>
      <c r="L62" s="68">
        <f>Input!$F$11</f>
        <v>5</v>
      </c>
      <c r="M62" s="68">
        <f>Input!$F$11</f>
        <v>5</v>
      </c>
      <c r="N62" s="68">
        <f>Input!$F$11</f>
        <v>5</v>
      </c>
    </row>
    <row r="63" spans="1:16" ht="15" thickBot="1">
      <c r="A63" s="9" t="s">
        <v>196</v>
      </c>
      <c r="C63" s="56">
        <f>C61*C62</f>
        <v>207332.19238816792</v>
      </c>
      <c r="E63" s="56">
        <f t="shared" ref="E63:N63" si="12">E61*E62</f>
        <v>239640.78374999997</v>
      </c>
      <c r="F63" s="56">
        <f t="shared" si="12"/>
        <v>261938.25560000003</v>
      </c>
      <c r="G63" s="56">
        <f t="shared" si="12"/>
        <v>281764.04545000003</v>
      </c>
      <c r="H63" s="56">
        <f t="shared" si="12"/>
        <v>316065.74464926939</v>
      </c>
      <c r="I63" s="56">
        <f t="shared" si="12"/>
        <v>346758.10631934798</v>
      </c>
      <c r="J63" s="56">
        <f t="shared" si="12"/>
        <v>381878.15109233896</v>
      </c>
      <c r="K63" s="56">
        <f t="shared" si="12"/>
        <v>404514.10661133943</v>
      </c>
      <c r="L63" s="56">
        <f t="shared" si="12"/>
        <v>425198.63661874738</v>
      </c>
      <c r="M63" s="56">
        <f t="shared" si="12"/>
        <v>425957.01051892282</v>
      </c>
      <c r="N63" s="56">
        <f t="shared" si="12"/>
        <v>432239.10316190077</v>
      </c>
    </row>
    <row r="64" spans="1:16" ht="15" thickBot="1">
      <c r="A64" s="4" t="s">
        <v>197</v>
      </c>
      <c r="C64" s="54">
        <f>C53</f>
        <v>129703.31999999999</v>
      </c>
      <c r="E64" s="54">
        <f t="shared" ref="E64:N64" si="13">E53</f>
        <v>154771.9325</v>
      </c>
      <c r="F64" s="54">
        <f t="shared" si="13"/>
        <v>189946.42551999999</v>
      </c>
      <c r="G64" s="54">
        <f t="shared" si="13"/>
        <v>225144.17202999996</v>
      </c>
      <c r="H64" s="54">
        <f t="shared" si="13"/>
        <v>273796.24171683547</v>
      </c>
      <c r="I64" s="54">
        <f t="shared" si="13"/>
        <v>305115.12397263991</v>
      </c>
      <c r="J64" s="54">
        <f t="shared" si="13"/>
        <v>319458.69474177476</v>
      </c>
      <c r="K64" s="54">
        <f t="shared" si="13"/>
        <v>332259.39914036915</v>
      </c>
      <c r="L64" s="54">
        <f t="shared" si="13"/>
        <v>337723.14327524661</v>
      </c>
      <c r="M64" s="54">
        <f t="shared" si="13"/>
        <v>340008.45219157625</v>
      </c>
      <c r="N64" s="54">
        <f t="shared" si="13"/>
        <v>340106.54808035109</v>
      </c>
    </row>
    <row r="65" spans="1:15" ht="15" thickBot="1">
      <c r="A65" s="9" t="s">
        <v>198</v>
      </c>
      <c r="C65" s="56">
        <f>C63-C64</f>
        <v>77628.872388167933</v>
      </c>
      <c r="E65" s="56">
        <f t="shared" ref="E65:N65" si="14">E63-E64</f>
        <v>84868.851249999978</v>
      </c>
      <c r="F65" s="56">
        <f t="shared" si="14"/>
        <v>71991.830080000043</v>
      </c>
      <c r="G65" s="56">
        <f t="shared" si="14"/>
        <v>56619.873420000076</v>
      </c>
      <c r="H65" s="56">
        <f t="shared" si="14"/>
        <v>42269.502932433912</v>
      </c>
      <c r="I65" s="56">
        <f t="shared" si="14"/>
        <v>41642.982346708071</v>
      </c>
      <c r="J65" s="56">
        <f t="shared" si="14"/>
        <v>62419.4563505642</v>
      </c>
      <c r="K65" s="56">
        <f t="shared" si="14"/>
        <v>72254.707470970287</v>
      </c>
      <c r="L65" s="56">
        <f t="shared" si="14"/>
        <v>87475.49334350077</v>
      </c>
      <c r="M65" s="56">
        <f t="shared" si="14"/>
        <v>85948.558327346575</v>
      </c>
      <c r="N65" s="56">
        <f t="shared" si="14"/>
        <v>92132.555081549683</v>
      </c>
    </row>
    <row r="66" spans="1:15" ht="5.25" customHeight="1"/>
    <row r="67" spans="1:15" ht="15" thickBot="1">
      <c r="A67" s="69" t="s">
        <v>148</v>
      </c>
    </row>
    <row r="68" spans="1:15" ht="15" thickBot="1">
      <c r="A68" s="4" t="s">
        <v>199</v>
      </c>
      <c r="C68" s="54">
        <f>('4. Financials - water services'!C8+'4. Financials - water services'!C20+'4. Financials - water services'!C23+'4. Financials - water services'!C24+'4. Financials - water services'!C21*Input!$F$14)</f>
        <v>45186.046612633589</v>
      </c>
      <c r="E68" s="54">
        <f>('4. Financials - water services'!E8+'4. Financials - water services'!E20+'4. Financials - water services'!E23+'4. Financials - water services'!E24+'4. Financials - water services'!E21*Input!$F$14)</f>
        <v>50115.556749999996</v>
      </c>
      <c r="F68" s="54">
        <f>('4. Financials - water services'!F8+'4. Financials - water services'!F20+'4. Financials - water services'!F23+'4. Financials - water services'!F24+'4. Financials - water services'!F21*Input!$F$14)</f>
        <v>52800.105620000009</v>
      </c>
      <c r="G68" s="54">
        <f>('4. Financials - water services'!G8+'4. Financials - water services'!G20+'4. Financials - water services'!G23+'4. Financials - water services'!G24+'4. Financials - water services'!G21*Input!$F$14)</f>
        <v>56767.76359000001</v>
      </c>
      <c r="H68" s="54">
        <f>('4. Financials - water services'!H8+'4. Financials - water services'!H20+'4. Financials - water services'!H23+'4. Financials - water services'!H24+'4. Financials - water services'!H21*Input!$F$14)</f>
        <v>63630.103429853873</v>
      </c>
      <c r="I68" s="54">
        <f>('4. Financials - water services'!I8+'4. Financials - water services'!I20+'4. Financials - water services'!I23+'4. Financials - water services'!I24+'4. Financials - water services'!I21*Input!$F$14)</f>
        <v>69770.075763869609</v>
      </c>
      <c r="J68" s="54">
        <f>('4. Financials - water services'!J8+'4. Financials - water services'!J20+'4. Financials - water services'!J23+'4. Financials - water services'!J24+'4. Financials - water services'!J21*Input!$F$14)</f>
        <v>76794.584718467799</v>
      </c>
      <c r="K68" s="54">
        <f>('4. Financials - water services'!K8+'4. Financials - water services'!K20+'4. Financials - water services'!K23+'4. Financials - water services'!K24+'4. Financials - water services'!K21*Input!$F$14)</f>
        <v>81322.775822267897</v>
      </c>
      <c r="L68" s="54">
        <f>('4. Financials - water services'!L8+'4. Financials - water services'!L20+'4. Financials - water services'!L23+'4. Financials - water services'!L24+'4. Financials - water services'!L21*Input!$F$14)</f>
        <v>85460.681823749488</v>
      </c>
      <c r="M68" s="54">
        <f>('4. Financials - water services'!M8+'4. Financials - water services'!M20+'4. Financials - water services'!M23+'4. Financials - water services'!M24+'4. Financials - water services'!M21*Input!$F$14)</f>
        <v>85613.356603784574</v>
      </c>
      <c r="N68" s="54">
        <f>('4. Financials - water services'!N8+'4. Financials - water services'!N20+'4. Financials - water services'!N23+'4. Financials - water services'!N24+'4. Financials - water services'!N21*Input!$F$14)</f>
        <v>86870.775132380164</v>
      </c>
      <c r="O68" s="65"/>
    </row>
    <row r="69" spans="1:15" ht="15" thickBot="1">
      <c r="A69" s="4" t="s">
        <v>200</v>
      </c>
      <c r="C69" s="54">
        <f>-SUM('4. Financials - water services'!C11:C14)</f>
        <v>-29514.197770000002</v>
      </c>
      <c r="E69" s="54">
        <f>-SUM('4. Financials - water services'!E11:E14)</f>
        <v>-34077.194839999996</v>
      </c>
      <c r="F69" s="54">
        <f>-SUM('4. Financials - water services'!F11:F14)</f>
        <v>-35163.723019999998</v>
      </c>
      <c r="G69" s="54">
        <f>-SUM('4. Financials - water services'!G11:G14)</f>
        <v>-34938.336309999999</v>
      </c>
      <c r="H69" s="54">
        <f>-SUM('4. Financials - water services'!H11:H14)</f>
        <v>-43935.631367189388</v>
      </c>
      <c r="I69" s="54">
        <f>-SUM('4. Financials - water services'!I11:I14)</f>
        <v>-48457.170841174033</v>
      </c>
      <c r="J69" s="54">
        <f>-SUM('4. Financials - water services'!J11:J14)</f>
        <v>-49478.621035616008</v>
      </c>
      <c r="K69" s="54">
        <f>-SUM('4. Financials - water services'!K11:K14)</f>
        <v>-49970.539695074185</v>
      </c>
      <c r="L69" s="54">
        <f>-SUM('4. Financials - water services'!L11:L14)</f>
        <v>-51688.370301717376</v>
      </c>
      <c r="M69" s="54">
        <f>-SUM('4. Financials - water services'!M11:M14)</f>
        <v>-51612.512804855753</v>
      </c>
      <c r="N69" s="54">
        <f>-SUM('4. Financials - water services'!N11:N14)</f>
        <v>-52860.117333163478</v>
      </c>
      <c r="O69" s="65"/>
    </row>
    <row r="70" spans="1:15" ht="15" thickBot="1">
      <c r="A70" s="9" t="s">
        <v>201</v>
      </c>
      <c r="C70" s="55">
        <f>C68+C69</f>
        <v>15671.848842633586</v>
      </c>
      <c r="E70" s="56">
        <f t="shared" ref="E70:N70" si="15">E68+E69</f>
        <v>16038.36191</v>
      </c>
      <c r="F70" s="56">
        <f t="shared" si="15"/>
        <v>17636.382600000012</v>
      </c>
      <c r="G70" s="56">
        <f t="shared" si="15"/>
        <v>21829.427280000011</v>
      </c>
      <c r="H70" s="56">
        <f t="shared" si="15"/>
        <v>19694.472062664485</v>
      </c>
      <c r="I70" s="56">
        <f t="shared" si="15"/>
        <v>21312.904922695576</v>
      </c>
      <c r="J70" s="56">
        <f t="shared" si="15"/>
        <v>27315.963682851791</v>
      </c>
      <c r="K70" s="56">
        <f t="shared" si="15"/>
        <v>31352.236127193712</v>
      </c>
      <c r="L70" s="56">
        <f t="shared" si="15"/>
        <v>33772.311522032112</v>
      </c>
      <c r="M70" s="56">
        <f t="shared" si="15"/>
        <v>34000.843798928821</v>
      </c>
      <c r="N70" s="56">
        <f t="shared" si="15"/>
        <v>34010.657799216686</v>
      </c>
    </row>
    <row r="71" spans="1:15" ht="5.25" customHeight="1" thickBot="1">
      <c r="A71" s="69"/>
    </row>
    <row r="72" spans="1:15" ht="15" thickBot="1">
      <c r="A72" s="2" t="s">
        <v>148</v>
      </c>
      <c r="C72" s="3" t="s">
        <v>96</v>
      </c>
      <c r="E72" s="3" t="s">
        <v>86</v>
      </c>
      <c r="F72" s="3" t="s">
        <v>87</v>
      </c>
      <c r="G72" s="3" t="s">
        <v>88</v>
      </c>
      <c r="H72" s="3" t="s">
        <v>89</v>
      </c>
      <c r="I72" s="3" t="s">
        <v>90</v>
      </c>
      <c r="J72" s="3" t="s">
        <v>91</v>
      </c>
      <c r="K72" s="3" t="s">
        <v>92</v>
      </c>
      <c r="L72" s="3" t="s">
        <v>93</v>
      </c>
      <c r="M72" s="3" t="s">
        <v>94</v>
      </c>
      <c r="N72" s="3" t="s">
        <v>95</v>
      </c>
    </row>
    <row r="73" spans="1:15" ht="15" thickBot="1">
      <c r="A73" s="4" t="s">
        <v>197</v>
      </c>
      <c r="C73" s="54">
        <f>C53</f>
        <v>129703.31999999999</v>
      </c>
      <c r="E73" s="54">
        <f t="shared" ref="E73:N73" si="16">E53</f>
        <v>154771.9325</v>
      </c>
      <c r="F73" s="54">
        <f t="shared" si="16"/>
        <v>189946.42551999999</v>
      </c>
      <c r="G73" s="54">
        <f t="shared" si="16"/>
        <v>225144.17202999996</v>
      </c>
      <c r="H73" s="54">
        <f t="shared" si="16"/>
        <v>273796.24171683547</v>
      </c>
      <c r="I73" s="54">
        <f t="shared" si="16"/>
        <v>305115.12397263991</v>
      </c>
      <c r="J73" s="54">
        <f t="shared" si="16"/>
        <v>319458.69474177476</v>
      </c>
      <c r="K73" s="54">
        <f t="shared" si="16"/>
        <v>332259.39914036915</v>
      </c>
      <c r="L73" s="54">
        <f t="shared" si="16"/>
        <v>337723.14327524661</v>
      </c>
      <c r="M73" s="54">
        <f t="shared" si="16"/>
        <v>340008.45219157625</v>
      </c>
      <c r="N73" s="54">
        <f t="shared" si="16"/>
        <v>340106.54808035109</v>
      </c>
    </row>
    <row r="74" spans="1:15" ht="15" thickBot="1">
      <c r="A74" s="4" t="s">
        <v>202</v>
      </c>
      <c r="C74" s="54">
        <f>C$70</f>
        <v>15671.848842633586</v>
      </c>
      <c r="E74" s="54">
        <f t="shared" ref="E74:N74" si="17">E$70</f>
        <v>16038.36191</v>
      </c>
      <c r="F74" s="54">
        <f t="shared" si="17"/>
        <v>17636.382600000012</v>
      </c>
      <c r="G74" s="54">
        <f t="shared" si="17"/>
        <v>21829.427280000011</v>
      </c>
      <c r="H74" s="54">
        <f t="shared" si="17"/>
        <v>19694.472062664485</v>
      </c>
      <c r="I74" s="54">
        <f t="shared" si="17"/>
        <v>21312.904922695576</v>
      </c>
      <c r="J74" s="54">
        <f t="shared" si="17"/>
        <v>27315.963682851791</v>
      </c>
      <c r="K74" s="54">
        <f t="shared" si="17"/>
        <v>31352.236127193712</v>
      </c>
      <c r="L74" s="54">
        <f t="shared" si="17"/>
        <v>33772.311522032112</v>
      </c>
      <c r="M74" s="54">
        <f t="shared" si="17"/>
        <v>34000.843798928821</v>
      </c>
      <c r="N74" s="54">
        <f t="shared" si="17"/>
        <v>34010.657799216686</v>
      </c>
    </row>
    <row r="75" spans="1:15" ht="15" thickBot="1">
      <c r="A75" s="9" t="s">
        <v>151</v>
      </c>
      <c r="C75" s="59">
        <f>C74/C73</f>
        <v>0.12082843247677535</v>
      </c>
      <c r="D75" s="64"/>
      <c r="E75" s="60">
        <f t="shared" ref="E75:N75" si="18">E74/E73</f>
        <v>0.10362577794911232</v>
      </c>
      <c r="F75" s="59">
        <f t="shared" si="18"/>
        <v>9.2849247105958446E-2</v>
      </c>
      <c r="G75" s="59">
        <f t="shared" si="18"/>
        <v>9.6957549836516707E-2</v>
      </c>
      <c r="H75" s="59">
        <f t="shared" si="18"/>
        <v>7.1931126370364237E-2</v>
      </c>
      <c r="I75" s="59">
        <f t="shared" si="18"/>
        <v>6.9852010759737806E-2</v>
      </c>
      <c r="J75" s="59">
        <f t="shared" si="18"/>
        <v>8.5507028396681659E-2</v>
      </c>
      <c r="K75" s="59">
        <f>K74/K73</f>
        <v>9.4360719992599457E-2</v>
      </c>
      <c r="L75" s="59">
        <f t="shared" si="18"/>
        <v>9.9999991692921841E-2</v>
      </c>
      <c r="M75" s="59">
        <f t="shared" si="18"/>
        <v>9.9999995822960305E-2</v>
      </c>
      <c r="N75" s="59">
        <f t="shared" si="18"/>
        <v>0.10000000879483678</v>
      </c>
    </row>
    <row r="76" spans="1:15" ht="6.75" customHeight="1" thickBot="1"/>
    <row r="77" spans="1:15" ht="15" thickBot="1">
      <c r="A77" s="2" t="s">
        <v>203</v>
      </c>
      <c r="C77" s="3" t="s">
        <v>96</v>
      </c>
      <c r="E77" s="3" t="s">
        <v>86</v>
      </c>
      <c r="F77" s="3" t="s">
        <v>87</v>
      </c>
      <c r="G77" s="3" t="s">
        <v>88</v>
      </c>
      <c r="H77" s="3" t="s">
        <v>89</v>
      </c>
      <c r="I77" s="3" t="s">
        <v>90</v>
      </c>
      <c r="J77" s="3" t="s">
        <v>91</v>
      </c>
      <c r="K77" s="3" t="s">
        <v>92</v>
      </c>
      <c r="L77" s="3" t="s">
        <v>93</v>
      </c>
      <c r="M77" s="3" t="s">
        <v>94</v>
      </c>
      <c r="N77" s="3" t="s">
        <v>95</v>
      </c>
    </row>
    <row r="78" spans="1:15" ht="15" thickBot="1">
      <c r="A78" s="4" t="s">
        <v>202</v>
      </c>
      <c r="C78" s="54">
        <f>C74</f>
        <v>15671.848842633586</v>
      </c>
      <c r="E78" s="54">
        <f>E74</f>
        <v>16038.36191</v>
      </c>
      <c r="F78" s="54">
        <f t="shared" ref="F78:N78" si="19">F74</f>
        <v>17636.382600000012</v>
      </c>
      <c r="G78" s="54">
        <f t="shared" si="19"/>
        <v>21829.427280000011</v>
      </c>
      <c r="H78" s="54">
        <f t="shared" si="19"/>
        <v>19694.472062664485</v>
      </c>
      <c r="I78" s="54">
        <f t="shared" si="19"/>
        <v>21312.904922695576</v>
      </c>
      <c r="J78" s="54">
        <f t="shared" si="19"/>
        <v>27315.963682851791</v>
      </c>
      <c r="K78" s="54">
        <f t="shared" si="19"/>
        <v>31352.236127193712</v>
      </c>
      <c r="L78" s="54">
        <f t="shared" si="19"/>
        <v>33772.311522032112</v>
      </c>
      <c r="M78" s="54">
        <f t="shared" si="19"/>
        <v>34000.843798928821</v>
      </c>
      <c r="N78" s="54">
        <f t="shared" si="19"/>
        <v>34010.657799216686</v>
      </c>
    </row>
    <row r="79" spans="1:15" ht="15" thickBot="1">
      <c r="A79" s="4" t="s">
        <v>204</v>
      </c>
      <c r="C79" s="54">
        <f>'4. Financials - water services'!C12</f>
        <v>4555.5102799999995</v>
      </c>
      <c r="E79" s="54">
        <f>'4. Financials - water services'!E12</f>
        <v>5279.0720000000001</v>
      </c>
      <c r="F79" s="54">
        <f>'4. Financials - water services'!F12</f>
        <v>5785.9334499999995</v>
      </c>
      <c r="G79" s="54">
        <f>'4. Financials - water services'!G12</f>
        <v>7354.14473</v>
      </c>
      <c r="H79" s="54">
        <f>'4. Financials - water services'!H12</f>
        <v>14772.450307189385</v>
      </c>
      <c r="I79" s="54">
        <f>'4. Financials - water services'!I12</f>
        <v>17149.854703674042</v>
      </c>
      <c r="J79" s="54">
        <f>'4. Financials - water services'!J12</f>
        <v>18519.529070225672</v>
      </c>
      <c r="K79" s="54">
        <f>'4. Financials - water services'!K12</f>
        <v>19349.309245693512</v>
      </c>
      <c r="L79" s="54">
        <f>'4. Financials - water services'!L12</f>
        <v>19919.120350649002</v>
      </c>
      <c r="M79" s="54">
        <f>'4. Financials - water services'!M12</f>
        <v>20168.22794087834</v>
      </c>
      <c r="N79" s="54">
        <f>'4. Financials - water services'!N12</f>
        <v>20255.43223782313</v>
      </c>
    </row>
    <row r="80" spans="1:15" ht="15" thickBot="1">
      <c r="A80" s="9" t="s">
        <v>203</v>
      </c>
      <c r="C80" s="70">
        <f>(C78+C79)/C79</f>
        <v>4.4401961315810237</v>
      </c>
      <c r="D80" s="71"/>
      <c r="E80" s="70">
        <f>(E78+E79)/E79</f>
        <v>4.03810251309321</v>
      </c>
      <c r="F80" s="70">
        <f t="shared" ref="F80:N80" si="20">(F78+F79)/F79</f>
        <v>4.0481481946530193</v>
      </c>
      <c r="G80" s="70">
        <f t="shared" si="20"/>
        <v>3.9683162463407231</v>
      </c>
      <c r="H80" s="70">
        <f t="shared" si="20"/>
        <v>2.3331892579174678</v>
      </c>
      <c r="I80" s="70">
        <f t="shared" si="20"/>
        <v>2.2427455095657267</v>
      </c>
      <c r="J80" s="70">
        <f t="shared" si="20"/>
        <v>2.474981549437365</v>
      </c>
      <c r="K80" s="70">
        <f t="shared" si="20"/>
        <v>2.6203284432063971</v>
      </c>
      <c r="L80" s="70">
        <f t="shared" si="20"/>
        <v>2.6954720352865258</v>
      </c>
      <c r="M80" s="70">
        <f t="shared" si="20"/>
        <v>2.6858617375110874</v>
      </c>
      <c r="N80" s="70">
        <f t="shared" si="20"/>
        <v>2.6790882267971705</v>
      </c>
    </row>
    <row r="86" spans="1:14">
      <c r="E86" s="101" t="s">
        <v>205</v>
      </c>
    </row>
    <row r="87" spans="1:14" ht="15" thickBot="1"/>
    <row r="88" spans="1:14" ht="15" thickBot="1">
      <c r="A88" s="9" t="s">
        <v>151</v>
      </c>
    </row>
    <row r="89" spans="1:14">
      <c r="A89" s="112" t="s">
        <v>206</v>
      </c>
      <c r="E89" s="102">
        <f>E96/E103</f>
        <v>9.8713059902334199E-2</v>
      </c>
      <c r="F89" s="102">
        <f t="shared" ref="F89:N89" si="21">F96/F103</f>
        <v>0.10435873578469324</v>
      </c>
      <c r="G89" s="102">
        <f t="shared" si="21"/>
        <v>0.12017049688619609</v>
      </c>
      <c r="H89" s="102">
        <f t="shared" si="21"/>
        <v>9.7021238011938529E-2</v>
      </c>
      <c r="I89" s="102">
        <f t="shared" si="21"/>
        <v>9.664449951071713E-2</v>
      </c>
      <c r="J89" s="102">
        <f t="shared" si="21"/>
        <v>0.10000004783293573</v>
      </c>
      <c r="K89" s="102">
        <f t="shared" si="21"/>
        <v>0.10000009453014068</v>
      </c>
      <c r="L89" s="102">
        <f t="shared" si="21"/>
        <v>0.10000019766694404</v>
      </c>
      <c r="M89" s="102">
        <f t="shared" si="21"/>
        <v>0.10000040926492214</v>
      </c>
      <c r="N89" s="102">
        <f t="shared" si="21"/>
        <v>0.10000086176746234</v>
      </c>
    </row>
    <row r="90" spans="1:14">
      <c r="A90" s="112" t="s">
        <v>207</v>
      </c>
      <c r="E90" s="102">
        <f t="shared" ref="E90:N93" si="22">E97/E104</f>
        <v>0.2060886756640237</v>
      </c>
      <c r="F90" s="102">
        <f t="shared" si="22"/>
        <v>0.16505403387192116</v>
      </c>
      <c r="G90" s="102">
        <f t="shared" si="22"/>
        <v>0.16920857018292462</v>
      </c>
      <c r="H90" s="102">
        <f t="shared" si="22"/>
        <v>0.12078868082767164</v>
      </c>
      <c r="I90" s="102">
        <f t="shared" si="22"/>
        <v>0.10575888748743646</v>
      </c>
      <c r="J90" s="102">
        <f t="shared" si="22"/>
        <v>0.10000007312402527</v>
      </c>
      <c r="K90" s="102">
        <f t="shared" si="22"/>
        <v>0.10000014975072648</v>
      </c>
      <c r="L90" s="102">
        <f t="shared" si="22"/>
        <v>0.10000029751064779</v>
      </c>
      <c r="M90" s="102">
        <f t="shared" si="22"/>
        <v>0.10000059747187505</v>
      </c>
      <c r="N90" s="102">
        <f t="shared" si="22"/>
        <v>0.10000120071220171</v>
      </c>
    </row>
    <row r="91" spans="1:14">
      <c r="A91" s="112" t="s">
        <v>208</v>
      </c>
      <c r="E91" s="102">
        <f t="shared" si="22"/>
        <v>4.2853469954144019E-2</v>
      </c>
      <c r="F91" s="102">
        <f t="shared" si="22"/>
        <v>3.3236981306243446E-2</v>
      </c>
      <c r="G91" s="102">
        <f t="shared" si="22"/>
        <v>4.2281922243030415E-2</v>
      </c>
      <c r="H91" s="102">
        <f t="shared" si="22"/>
        <v>4.0313065843546311E-2</v>
      </c>
      <c r="I91" s="102">
        <f t="shared" si="22"/>
        <v>3.0805541854196733E-2</v>
      </c>
      <c r="J91" s="102">
        <f t="shared" si="22"/>
        <v>5.4628341032260976E-2</v>
      </c>
      <c r="K91" s="102">
        <f t="shared" si="22"/>
        <v>8.2523036671685007E-2</v>
      </c>
      <c r="L91" s="102">
        <f t="shared" si="22"/>
        <v>9.9999836764070593E-2</v>
      </c>
      <c r="M91" s="102">
        <f t="shared" si="22"/>
        <v>9.9999725589673252E-2</v>
      </c>
      <c r="N91" s="102">
        <f t="shared" si="22"/>
        <v>9.9999542392104346E-2</v>
      </c>
    </row>
    <row r="92" spans="1:14">
      <c r="A92" s="1" t="s">
        <v>209</v>
      </c>
      <c r="E92" s="102">
        <f t="shared" si="22"/>
        <v>6.8451440690288121E-2</v>
      </c>
      <c r="F92" s="102">
        <f t="shared" si="22"/>
        <v>7.9546168587683819E-2</v>
      </c>
      <c r="G92" s="102">
        <f t="shared" si="22"/>
        <v>8.4073567324143547E-2</v>
      </c>
      <c r="H92" s="102">
        <f t="shared" si="22"/>
        <v>5.7479844186532875E-2</v>
      </c>
      <c r="I92" s="102">
        <f t="shared" si="22"/>
        <v>7.2044865602735805E-2</v>
      </c>
      <c r="J92" s="102">
        <f t="shared" si="22"/>
        <v>9.9999975743458952E-2</v>
      </c>
      <c r="K92" s="102">
        <f t="shared" si="22"/>
        <v>9.9999946934532319E-2</v>
      </c>
      <c r="L92" s="102">
        <f t="shared" si="22"/>
        <v>9.9999877813217411E-2</v>
      </c>
      <c r="M92" s="102">
        <f t="shared" si="22"/>
        <v>9.9999721253120261E-2</v>
      </c>
      <c r="N92" s="102">
        <f t="shared" si="22"/>
        <v>9.9999351663076289E-2</v>
      </c>
    </row>
    <row r="93" spans="1:14">
      <c r="A93" s="1" t="s">
        <v>210</v>
      </c>
      <c r="E93" s="107">
        <f t="shared" si="22"/>
        <v>0.10362577794911232</v>
      </c>
      <c r="F93" s="107">
        <f t="shared" si="22"/>
        <v>9.2849247105958418E-2</v>
      </c>
      <c r="G93" s="107">
        <f t="shared" si="22"/>
        <v>9.6957549836516638E-2</v>
      </c>
      <c r="H93" s="107">
        <f t="shared" si="22"/>
        <v>7.193112637036421E-2</v>
      </c>
      <c r="I93" s="107">
        <f t="shared" si="22"/>
        <v>6.9852010759737723E-2</v>
      </c>
      <c r="J93" s="107">
        <f t="shared" si="22"/>
        <v>8.5507028396681575E-2</v>
      </c>
      <c r="K93" s="107">
        <f t="shared" si="22"/>
        <v>9.4360719992599415E-2</v>
      </c>
      <c r="L93" s="107">
        <f t="shared" si="22"/>
        <v>9.9999991692921744E-2</v>
      </c>
      <c r="M93" s="107">
        <f t="shared" si="22"/>
        <v>9.9999995822960264E-2</v>
      </c>
      <c r="N93" s="107">
        <f t="shared" si="22"/>
        <v>0.10000000879483671</v>
      </c>
    </row>
    <row r="94" spans="1:14" ht="15" thickBot="1">
      <c r="E94" s="117">
        <f>E93-E75</f>
        <v>0</v>
      </c>
      <c r="F94" s="117">
        <f t="shared" ref="F94:N94" si="23">F93-F75</f>
        <v>0</v>
      </c>
      <c r="G94" s="117">
        <f t="shared" si="23"/>
        <v>0</v>
      </c>
      <c r="H94" s="117">
        <f t="shared" si="23"/>
        <v>0</v>
      </c>
      <c r="I94" s="117">
        <f t="shared" si="23"/>
        <v>0</v>
      </c>
      <c r="J94" s="117">
        <f t="shared" si="23"/>
        <v>0</v>
      </c>
      <c r="K94" s="117">
        <f t="shared" si="23"/>
        <v>0</v>
      </c>
      <c r="L94" s="117">
        <f t="shared" si="23"/>
        <v>0</v>
      </c>
      <c r="M94" s="117">
        <f t="shared" si="23"/>
        <v>0</v>
      </c>
      <c r="N94" s="117">
        <f t="shared" si="23"/>
        <v>0</v>
      </c>
    </row>
    <row r="95" spans="1:14" ht="15" thickBot="1">
      <c r="A95" s="4" t="s">
        <v>202</v>
      </c>
    </row>
    <row r="96" spans="1:14">
      <c r="A96" s="112" t="s">
        <v>206</v>
      </c>
      <c r="E96" s="103">
        <v>2825.5569999999998</v>
      </c>
      <c r="F96" s="103">
        <v>3342.5</v>
      </c>
      <c r="G96" s="103">
        <v>4121</v>
      </c>
      <c r="H96" s="103">
        <v>3739.7949995910822</v>
      </c>
      <c r="I96" s="103">
        <v>4077.8030296333891</v>
      </c>
      <c r="J96" s="103">
        <v>4508.5279881555898</v>
      </c>
      <c r="K96" s="103">
        <v>4871.3326534360867</v>
      </c>
      <c r="L96" s="103">
        <v>4974.5421650567914</v>
      </c>
      <c r="M96" s="103">
        <v>5131.0815669170679</v>
      </c>
      <c r="N96" s="103">
        <v>5205.3385504883609</v>
      </c>
    </row>
    <row r="97" spans="1:15">
      <c r="A97" s="112" t="s">
        <v>207</v>
      </c>
      <c r="E97" s="103">
        <v>8160.4089999999997</v>
      </c>
      <c r="F97" s="103">
        <v>7440.8590000000004</v>
      </c>
      <c r="G97" s="103">
        <v>8512.5059999999994</v>
      </c>
      <c r="H97" s="103">
        <v>7172.9453035624338</v>
      </c>
      <c r="I97" s="103">
        <v>6635.8614137279856</v>
      </c>
      <c r="J97" s="103">
        <v>6306.7247090895962</v>
      </c>
      <c r="K97" s="103">
        <v>6287.9886925444243</v>
      </c>
      <c r="L97" s="103">
        <v>6462.405719578037</v>
      </c>
      <c r="M97" s="103">
        <v>6570.3107314425924</v>
      </c>
      <c r="N97" s="103">
        <v>6674.401187190284</v>
      </c>
    </row>
    <row r="98" spans="1:15">
      <c r="A98" s="112" t="s">
        <v>208</v>
      </c>
      <c r="E98" s="103">
        <v>1460.0999999999985</v>
      </c>
      <c r="F98" s="103">
        <v>1523.4720600000019</v>
      </c>
      <c r="G98" s="103">
        <v>2650.8058399999991</v>
      </c>
      <c r="H98" s="103">
        <v>3116.2411536149084</v>
      </c>
      <c r="I98" s="103">
        <v>2855.325398854342</v>
      </c>
      <c r="J98" s="103">
        <v>5574.4996596506753</v>
      </c>
      <c r="K98" s="103">
        <v>8847.3256847059256</v>
      </c>
      <c r="L98" s="103">
        <v>11142.443348047907</v>
      </c>
      <c r="M98" s="103">
        <v>11156.598649023035</v>
      </c>
      <c r="N98" s="103">
        <v>11260.935618278054</v>
      </c>
    </row>
    <row r="99" spans="1:15">
      <c r="A99" s="1" t="s">
        <v>209</v>
      </c>
      <c r="E99" s="103">
        <v>3592.2959100000007</v>
      </c>
      <c r="F99" s="103">
        <v>5329.5515400000004</v>
      </c>
      <c r="G99" s="103">
        <v>6545.1154399999996</v>
      </c>
      <c r="H99" s="103">
        <v>5665.4906058960551</v>
      </c>
      <c r="I99" s="103">
        <v>7743.9150804798373</v>
      </c>
      <c r="J99" s="103">
        <v>10926.211325955908</v>
      </c>
      <c r="K99" s="103">
        <v>11345.589096507265</v>
      </c>
      <c r="L99" s="103">
        <v>11192.920289349357</v>
      </c>
      <c r="M99" s="103">
        <v>11142.852851546124</v>
      </c>
      <c r="N99" s="103">
        <v>10869.982443259967</v>
      </c>
    </row>
    <row r="100" spans="1:15">
      <c r="E100" s="105">
        <f>SUM(E96:E99)</f>
        <v>16038.36191</v>
      </c>
      <c r="F100" s="105">
        <f t="shared" ref="F100:N100" si="24">SUM(F96:F99)</f>
        <v>17636.382600000004</v>
      </c>
      <c r="G100" s="105">
        <f t="shared" si="24"/>
        <v>21829.427279999996</v>
      </c>
      <c r="H100" s="105">
        <f t="shared" si="24"/>
        <v>19694.472062664478</v>
      </c>
      <c r="I100" s="105">
        <f t="shared" si="24"/>
        <v>21312.904922695554</v>
      </c>
      <c r="J100" s="105">
        <f t="shared" si="24"/>
        <v>27315.963682851769</v>
      </c>
      <c r="K100" s="105">
        <f t="shared" si="24"/>
        <v>31352.236127193701</v>
      </c>
      <c r="L100" s="105">
        <f t="shared" si="24"/>
        <v>33772.311522032091</v>
      </c>
      <c r="M100" s="105">
        <f t="shared" si="24"/>
        <v>34000.843798928821</v>
      </c>
      <c r="N100" s="105">
        <f t="shared" si="24"/>
        <v>34010.657799216671</v>
      </c>
      <c r="O100" s="104"/>
    </row>
    <row r="101" spans="1:15" ht="15" thickBot="1">
      <c r="E101" s="104">
        <f>E100-E74</f>
        <v>0</v>
      </c>
      <c r="F101" s="104">
        <f t="shared" ref="F101:N101" si="25">F100-F74</f>
        <v>0</v>
      </c>
      <c r="G101" s="104">
        <f t="shared" si="25"/>
        <v>0</v>
      </c>
      <c r="H101" s="104">
        <f t="shared" si="25"/>
        <v>0</v>
      </c>
      <c r="I101" s="104">
        <f t="shared" si="25"/>
        <v>0</v>
      </c>
      <c r="J101" s="104">
        <f t="shared" si="25"/>
        <v>0</v>
      </c>
      <c r="K101" s="104">
        <f t="shared" si="25"/>
        <v>0</v>
      </c>
      <c r="L101" s="104">
        <f t="shared" si="25"/>
        <v>0</v>
      </c>
      <c r="M101" s="104">
        <f t="shared" si="25"/>
        <v>0</v>
      </c>
      <c r="N101" s="104">
        <f t="shared" si="25"/>
        <v>0</v>
      </c>
      <c r="O101" s="104"/>
    </row>
    <row r="102" spans="1:15" ht="15" thickBot="1">
      <c r="A102" s="4" t="s">
        <v>197</v>
      </c>
    </row>
    <row r="103" spans="1:15">
      <c r="A103" s="112" t="s">
        <v>206</v>
      </c>
      <c r="E103" s="103">
        <v>28623.942999999999</v>
      </c>
      <c r="F103" s="103">
        <v>32028.942999999999</v>
      </c>
      <c r="G103" s="103">
        <v>34292.942999999999</v>
      </c>
      <c r="H103" s="103">
        <v>38546.148000408917</v>
      </c>
      <c r="I103" s="103">
        <v>42193.844970775521</v>
      </c>
      <c r="J103" s="103">
        <v>45085.258315953266</v>
      </c>
      <c r="K103" s="103">
        <v>48713.280485628296</v>
      </c>
      <c r="L103" s="103">
        <v>49745.323320507501</v>
      </c>
      <c r="M103" s="103">
        <v>51310.605672860322</v>
      </c>
      <c r="N103" s="103">
        <v>52052.936929609954</v>
      </c>
    </row>
    <row r="104" spans="1:15">
      <c r="A104" s="112" t="s">
        <v>207</v>
      </c>
      <c r="E104" s="103">
        <v>39596.591</v>
      </c>
      <c r="F104" s="103">
        <v>45081.351999999999</v>
      </c>
      <c r="G104" s="103">
        <v>50307.770999999993</v>
      </c>
      <c r="H104" s="103">
        <v>59384.250696437564</v>
      </c>
      <c r="I104" s="103">
        <v>62745.189282709573</v>
      </c>
      <c r="J104" s="103">
        <v>63067.200973619983</v>
      </c>
      <c r="K104" s="103">
        <v>62879.792762497775</v>
      </c>
      <c r="L104" s="103">
        <v>64623.864932901182</v>
      </c>
      <c r="M104" s="103">
        <v>65702.714759184091</v>
      </c>
      <c r="N104" s="103">
        <v>66743.210478030815</v>
      </c>
    </row>
    <row r="105" spans="1:15">
      <c r="A105" s="112" t="s">
        <v>208</v>
      </c>
      <c r="E105" s="103">
        <v>34071.919999999998</v>
      </c>
      <c r="F105" s="103">
        <v>45836.655439999995</v>
      </c>
      <c r="G105" s="103">
        <v>62693.598099999996</v>
      </c>
      <c r="H105" s="103">
        <v>77301.021105885084</v>
      </c>
      <c r="I105" s="103">
        <v>92688.692585530749</v>
      </c>
      <c r="J105" s="103">
        <v>102044.09568942673</v>
      </c>
      <c r="K105" s="103">
        <v>107210.37472123934</v>
      </c>
      <c r="L105" s="103">
        <v>111424.61536548556</v>
      </c>
      <c r="M105" s="103">
        <v>111566.29263965852</v>
      </c>
      <c r="N105" s="103">
        <v>112609.87149444378</v>
      </c>
    </row>
    <row r="106" spans="1:15">
      <c r="A106" s="1" t="s">
        <v>209</v>
      </c>
      <c r="E106" s="103">
        <v>52479.478499999997</v>
      </c>
      <c r="F106" s="103">
        <v>66999.475079999989</v>
      </c>
      <c r="G106" s="103">
        <v>77849.859929999991</v>
      </c>
      <c r="H106" s="103">
        <v>98564.82191410393</v>
      </c>
      <c r="I106" s="103">
        <v>107487.39713362409</v>
      </c>
      <c r="J106" s="103">
        <v>109262.13976277487</v>
      </c>
      <c r="K106" s="103">
        <v>113455.95117100375</v>
      </c>
      <c r="L106" s="103">
        <v>111929.33965635246</v>
      </c>
      <c r="M106" s="103">
        <v>111428.83911987342</v>
      </c>
      <c r="N106" s="103">
        <v>108700.5291782666</v>
      </c>
    </row>
    <row r="107" spans="1:15">
      <c r="E107" s="105">
        <f t="shared" ref="E107:N107" si="26">SUM(E103:E106)</f>
        <v>154771.9325</v>
      </c>
      <c r="F107" s="105">
        <f t="shared" si="26"/>
        <v>189946.42551999999</v>
      </c>
      <c r="G107" s="105">
        <f t="shared" si="26"/>
        <v>225144.17202999996</v>
      </c>
      <c r="H107" s="105">
        <f t="shared" si="26"/>
        <v>273796.24171683547</v>
      </c>
      <c r="I107" s="105">
        <f t="shared" si="26"/>
        <v>305115.12397263991</v>
      </c>
      <c r="J107" s="105">
        <f t="shared" si="26"/>
        <v>319458.69474177482</v>
      </c>
      <c r="K107" s="105">
        <f t="shared" si="26"/>
        <v>332259.39914036915</v>
      </c>
      <c r="L107" s="105">
        <f t="shared" si="26"/>
        <v>337723.14327524672</v>
      </c>
      <c r="M107" s="105">
        <f t="shared" si="26"/>
        <v>340008.45219157636</v>
      </c>
      <c r="N107" s="105">
        <f t="shared" si="26"/>
        <v>340106.54808035115</v>
      </c>
    </row>
    <row r="108" spans="1:15">
      <c r="E108" s="106">
        <f>+E73-E107</f>
        <v>0</v>
      </c>
      <c r="F108" s="106">
        <f t="shared" ref="F108:N108" si="27">+F73-F107</f>
        <v>0</v>
      </c>
      <c r="G108" s="106">
        <f t="shared" si="27"/>
        <v>0</v>
      </c>
      <c r="H108" s="106">
        <f t="shared" si="27"/>
        <v>0</v>
      </c>
      <c r="I108" s="106">
        <f t="shared" si="27"/>
        <v>0</v>
      </c>
      <c r="J108" s="106">
        <f t="shared" si="27"/>
        <v>0</v>
      </c>
      <c r="K108" s="106">
        <f t="shared" si="27"/>
        <v>0</v>
      </c>
      <c r="L108" s="106">
        <f t="shared" si="27"/>
        <v>0</v>
      </c>
      <c r="M108" s="106">
        <f t="shared" si="27"/>
        <v>0</v>
      </c>
      <c r="N108" s="106">
        <f t="shared" si="27"/>
        <v>0</v>
      </c>
    </row>
  </sheetData>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397E7-034B-45EF-81F7-B26A5902F8FB}">
  <sheetPr codeName="Sheet28">
    <pageSetUpPr fitToPage="1"/>
  </sheetPr>
  <dimension ref="A1:L94"/>
  <sheetViews>
    <sheetView zoomScale="85" zoomScaleNormal="85" workbookViewId="0">
      <selection activeCell="C5" sqref="C5"/>
    </sheetView>
  </sheetViews>
  <sheetFormatPr defaultColWidth="7.81640625" defaultRowHeight="14.5"/>
  <cols>
    <col min="1" max="1" width="67.26953125" style="1" customWidth="1"/>
    <col min="2" max="11" width="14.1796875" style="1" customWidth="1"/>
    <col min="12" max="12" width="11.26953125" style="1" customWidth="1"/>
    <col min="13" max="13" width="7.81640625" style="1"/>
    <col min="14" max="15" width="11.26953125" style="1" customWidth="1"/>
    <col min="16" max="16384" width="7.81640625" style="1"/>
  </cols>
  <sheetData>
    <row r="1" spans="1:11" ht="5.25" customHeight="1" thickBot="1">
      <c r="A1" s="72"/>
    </row>
    <row r="2" spans="1:11" ht="15" thickBot="1">
      <c r="A2" s="73" t="s">
        <v>211</v>
      </c>
      <c r="B2" s="74" t="s">
        <v>86</v>
      </c>
      <c r="C2" s="74" t="s">
        <v>87</v>
      </c>
      <c r="D2" s="74" t="s">
        <v>88</v>
      </c>
      <c r="E2" s="74" t="s">
        <v>89</v>
      </c>
      <c r="F2" s="74" t="s">
        <v>90</v>
      </c>
      <c r="G2" s="74" t="s">
        <v>91</v>
      </c>
      <c r="H2" s="74" t="s">
        <v>92</v>
      </c>
      <c r="I2" s="74" t="s">
        <v>93</v>
      </c>
      <c r="J2" s="74" t="s">
        <v>94</v>
      </c>
      <c r="K2" s="74" t="s">
        <v>95</v>
      </c>
    </row>
    <row r="3" spans="1:11" ht="15" thickBot="1">
      <c r="A3" s="75" t="s">
        <v>67</v>
      </c>
      <c r="B3" s="76"/>
      <c r="C3" s="76"/>
      <c r="D3" s="76"/>
      <c r="E3" s="76"/>
      <c r="F3" s="76"/>
      <c r="G3" s="76"/>
      <c r="H3" s="76"/>
      <c r="I3" s="76"/>
      <c r="J3" s="76"/>
      <c r="K3" s="76"/>
    </row>
    <row r="4" spans="1:11" ht="15" thickBot="1">
      <c r="A4" s="77" t="s">
        <v>212</v>
      </c>
      <c r="B4" s="78">
        <f>'5. Financials - drinking water'!E$28</f>
        <v>531.94702000000007</v>
      </c>
      <c r="C4" s="78">
        <f>'5. Financials - drinking water'!F$28</f>
        <v>3004.0360300000002</v>
      </c>
      <c r="D4" s="78">
        <f>'5. Financials - drinking water'!G$28</f>
        <v>556.32725000000005</v>
      </c>
      <c r="E4" s="78">
        <f>'5. Financials - drinking water'!H$28</f>
        <v>2021.50289</v>
      </c>
      <c r="F4" s="78">
        <f>'5. Financials - drinking water'!I$28</f>
        <v>608.59825000000001</v>
      </c>
      <c r="G4" s="78">
        <f>'5. Financials - drinking water'!J$28</f>
        <v>1687.7638972688276</v>
      </c>
      <c r="H4" s="78">
        <f>'5. Financials - drinking water'!K$28</f>
        <v>630.94034873334419</v>
      </c>
      <c r="I4" s="78">
        <f>'5. Financials - drinking water'!L$28</f>
        <v>1748.8827728473095</v>
      </c>
      <c r="J4" s="78">
        <f>'5. Financials - drinking water'!M$28</f>
        <v>92.394062744066716</v>
      </c>
      <c r="K4" s="78">
        <f>'5. Financials - drinking water'!N$28</f>
        <v>94.176296340322452</v>
      </c>
    </row>
    <row r="5" spans="1:11" ht="15" thickBot="1">
      <c r="A5" s="77" t="s">
        <v>213</v>
      </c>
      <c r="B5" s="78">
        <f>'5. Financials - drinking water'!E$29</f>
        <v>6424.5479999999998</v>
      </c>
      <c r="C5" s="78">
        <f>'5. Financials - drinking water'!F$29</f>
        <v>6993.2111999999997</v>
      </c>
      <c r="D5" s="78">
        <f>'5. Financials - drinking water'!G$29</f>
        <v>10867.511549999999</v>
      </c>
      <c r="E5" s="78">
        <f>'5. Financials - drinking water'!H$29</f>
        <v>9713.3278595000011</v>
      </c>
      <c r="F5" s="78">
        <f>'5. Financials - drinking water'!I$29</f>
        <v>8947.2402585</v>
      </c>
      <c r="G5" s="78">
        <f>'5. Financials - drinking water'!J$29</f>
        <v>4905.4624776265773</v>
      </c>
      <c r="H5" s="78">
        <f>'5. Financials - drinking water'!K$29</f>
        <v>5304.8937622939702</v>
      </c>
      <c r="I5" s="78">
        <f>'5. Financials - drinking water'!L$29</f>
        <v>2762.0503775131915</v>
      </c>
      <c r="J5" s="78">
        <f>'5. Financials - drinking water'!M$29</f>
        <v>2871.9252671007102</v>
      </c>
      <c r="K5" s="78">
        <f>'5. Financials - drinking water'!N$29</f>
        <v>2491.7909016788249</v>
      </c>
    </row>
    <row r="6" spans="1:11" ht="15" thickBot="1">
      <c r="A6" s="77" t="s">
        <v>214</v>
      </c>
      <c r="B6" s="78">
        <f>'5. Financials - drinking water'!E$30</f>
        <v>20227.90135</v>
      </c>
      <c r="C6" s="78">
        <f>'5. Financials - drinking water'!F$30</f>
        <v>20006.14128</v>
      </c>
      <c r="D6" s="78">
        <f>'5. Financials - drinking water'!G$30</f>
        <v>14659.618589999998</v>
      </c>
      <c r="E6" s="78">
        <f>'5. Financials - drinking water'!H$30</f>
        <v>18225.337390000001</v>
      </c>
      <c r="F6" s="78">
        <f>'5. Financials - drinking water'!I$30</f>
        <v>11041.326730000001</v>
      </c>
      <c r="G6" s="78">
        <f>'5. Financials - drinking water'!J$30</f>
        <v>12448.520047410828</v>
      </c>
      <c r="H6" s="78">
        <f>'5. Financials - drinking water'!K$30</f>
        <v>16583.420310373796</v>
      </c>
      <c r="I6" s="78">
        <f>'5. Financials - drinking water'!L$30</f>
        <v>11737.045640492515</v>
      </c>
      <c r="J6" s="78">
        <f>'5. Financials - drinking water'!M$30</f>
        <v>15614.396411413965</v>
      </c>
      <c r="K6" s="78">
        <f>'5. Financials - drinking water'!N$30</f>
        <v>12021.616910713939</v>
      </c>
    </row>
    <row r="7" spans="1:11" ht="15" thickBot="1">
      <c r="A7" s="79" t="s">
        <v>215</v>
      </c>
      <c r="B7" s="80">
        <f t="shared" ref="B7:K7" si="0">SUM(B4:B6)</f>
        <v>27184.396370000002</v>
      </c>
      <c r="C7" s="80">
        <f t="shared" si="0"/>
        <v>30003.388510000001</v>
      </c>
      <c r="D7" s="80">
        <f t="shared" si="0"/>
        <v>26083.457389999996</v>
      </c>
      <c r="E7" s="80">
        <f t="shared" si="0"/>
        <v>29960.168139500001</v>
      </c>
      <c r="F7" s="80">
        <f t="shared" si="0"/>
        <v>20597.165238500002</v>
      </c>
      <c r="G7" s="80">
        <f t="shared" si="0"/>
        <v>19041.746422306234</v>
      </c>
      <c r="H7" s="80">
        <f t="shared" si="0"/>
        <v>22519.25442140111</v>
      </c>
      <c r="I7" s="80">
        <f t="shared" si="0"/>
        <v>16247.978790853016</v>
      </c>
      <c r="J7" s="80">
        <f t="shared" si="0"/>
        <v>18578.71574125874</v>
      </c>
      <c r="K7" s="80">
        <f t="shared" si="0"/>
        <v>14607.584108733086</v>
      </c>
    </row>
    <row r="8" spans="1:11" ht="5.25" customHeight="1" thickBot="1"/>
    <row r="9" spans="1:11" ht="15" thickBot="1">
      <c r="A9" s="75" t="s">
        <v>68</v>
      </c>
      <c r="B9" s="76"/>
      <c r="C9" s="76"/>
      <c r="D9" s="76"/>
      <c r="E9" s="76"/>
      <c r="F9" s="76"/>
      <c r="G9" s="76"/>
      <c r="H9" s="76"/>
      <c r="I9" s="76"/>
      <c r="J9" s="76"/>
      <c r="K9" s="76"/>
    </row>
    <row r="10" spans="1:11" ht="15" thickBot="1">
      <c r="A10" s="77" t="s">
        <v>212</v>
      </c>
      <c r="B10" s="78">
        <f>'6. Financials - wastewater'!E$28</f>
        <v>280.64400000000001</v>
      </c>
      <c r="C10" s="78">
        <f>'6. Financials - wastewater'!F$28</f>
        <v>2920.6882800000003</v>
      </c>
      <c r="D10" s="78">
        <f>'6. Financials - wastewater'!G$28</f>
        <v>3516.7888800000001</v>
      </c>
      <c r="E10" s="78">
        <f>'6. Financials - wastewater'!H$28</f>
        <v>5780.0473600000005</v>
      </c>
      <c r="F10" s="78">
        <f>'6. Financials - wastewater'!I$28</f>
        <v>3876.7675600000002</v>
      </c>
      <c r="G10" s="78">
        <f>'6. Financials - wastewater'!J$28</f>
        <v>2799.7762021008284</v>
      </c>
      <c r="H10" s="78">
        <f>'6. Financials - wastewater'!K$28</f>
        <v>623.7612656098072</v>
      </c>
      <c r="I10" s="78">
        <f>'6. Financials - wastewater'!L$28</f>
        <v>243.62316673283649</v>
      </c>
      <c r="J10" s="78">
        <f>'6. Financials - wastewater'!M$28</f>
        <v>251.86489046259535</v>
      </c>
      <c r="K10" s="78">
        <f>'6. Financials - wastewater'!N$28</f>
        <v>256.35872157945596</v>
      </c>
    </row>
    <row r="11" spans="1:11" ht="15" thickBot="1">
      <c r="A11" s="77" t="s">
        <v>213</v>
      </c>
      <c r="B11" s="78">
        <f>'6. Financials - wastewater'!E$29</f>
        <v>4996.78</v>
      </c>
      <c r="C11" s="78">
        <f>'6. Financials - wastewater'!F$29</f>
        <v>7798.5104000000001</v>
      </c>
      <c r="D11" s="78">
        <f>'6. Financials - wastewater'!G$29</f>
        <v>13994.9558</v>
      </c>
      <c r="E11" s="78">
        <f>'6. Financials - wastewater'!H$29</f>
        <v>14946.143199999999</v>
      </c>
      <c r="F11" s="78">
        <f>'6. Financials - wastewater'!I$29</f>
        <v>17028.446599999999</v>
      </c>
      <c r="G11" s="78">
        <f>'6. Financials - wastewater'!J$29</f>
        <v>5694.41721864385</v>
      </c>
      <c r="H11" s="78">
        <f>'6. Financials - wastewater'!K$29</f>
        <v>5624.3745637285347</v>
      </c>
      <c r="I11" s="78">
        <f>'6. Financials - wastewater'!L$29</f>
        <v>8625.9449946461391</v>
      </c>
      <c r="J11" s="78">
        <f>'6. Financials - wastewater'!M$29</f>
        <v>3095.3499450663498</v>
      </c>
      <c r="K11" s="78">
        <f>'6. Financials - wastewater'!N$29</f>
        <v>5846.4547827926581</v>
      </c>
    </row>
    <row r="12" spans="1:11" ht="15" thickBot="1">
      <c r="A12" s="77" t="s">
        <v>214</v>
      </c>
      <c r="B12" s="78">
        <f>'6. Financials - wastewater'!E$30</f>
        <v>7861.2077599999993</v>
      </c>
      <c r="C12" s="78">
        <f>'6. Financials - wastewater'!F$30</f>
        <v>9436.6946000000007</v>
      </c>
      <c r="D12" s="78">
        <f>'6. Financials - wastewater'!G$30</f>
        <v>9628.3610900000003</v>
      </c>
      <c r="E12" s="78">
        <f>'6. Financials - wastewater'!H$30</f>
        <v>10420.201200000001</v>
      </c>
      <c r="F12" s="78">
        <f>'6. Financials - wastewater'!I$30</f>
        <v>8722.9257599999983</v>
      </c>
      <c r="G12" s="78">
        <f>'6. Financials - wastewater'!J$30</f>
        <v>11053.661907851765</v>
      </c>
      <c r="H12" s="78">
        <f>'6. Financials - wastewater'!K$30</f>
        <v>11781.427017001741</v>
      </c>
      <c r="I12" s="78">
        <f>'6. Financials - wastewater'!L$30</f>
        <v>10460.099630031888</v>
      </c>
      <c r="J12" s="78">
        <f>'6. Financials - wastewater'!M$30</f>
        <v>11061.098800137421</v>
      </c>
      <c r="K12" s="78">
        <f>'6. Financials - wastewater'!N$30</f>
        <v>10661.714845770533</v>
      </c>
    </row>
    <row r="13" spans="1:11" ht="15" thickBot="1">
      <c r="A13" s="79" t="s">
        <v>216</v>
      </c>
      <c r="B13" s="80">
        <f t="shared" ref="B13:K13" si="1">SUM(B10:B12)</f>
        <v>13138.63176</v>
      </c>
      <c r="C13" s="80">
        <f t="shared" si="1"/>
        <v>20155.893280000004</v>
      </c>
      <c r="D13" s="80">
        <f t="shared" si="1"/>
        <v>27140.105770000002</v>
      </c>
      <c r="E13" s="80">
        <f t="shared" si="1"/>
        <v>31146.391759999999</v>
      </c>
      <c r="F13" s="80">
        <f t="shared" si="1"/>
        <v>29628.139919999998</v>
      </c>
      <c r="G13" s="80">
        <f t="shared" si="1"/>
        <v>19547.855328596444</v>
      </c>
      <c r="H13" s="80">
        <f t="shared" si="1"/>
        <v>18029.562846340083</v>
      </c>
      <c r="I13" s="80">
        <f t="shared" si="1"/>
        <v>19329.667791410862</v>
      </c>
      <c r="J13" s="80">
        <f t="shared" si="1"/>
        <v>14408.313635666365</v>
      </c>
      <c r="K13" s="80">
        <f t="shared" si="1"/>
        <v>16764.528350142646</v>
      </c>
    </row>
    <row r="14" spans="1:11" ht="5.25" customHeight="1" thickBot="1"/>
    <row r="15" spans="1:11" ht="15" thickBot="1">
      <c r="A15" s="75" t="s">
        <v>69</v>
      </c>
      <c r="B15" s="76"/>
      <c r="C15" s="76"/>
      <c r="D15" s="76"/>
      <c r="E15" s="76"/>
      <c r="F15" s="76"/>
      <c r="G15" s="76"/>
      <c r="H15" s="76"/>
      <c r="I15" s="76"/>
      <c r="J15" s="76"/>
      <c r="K15" s="76"/>
    </row>
    <row r="16" spans="1:11" ht="15" thickBot="1">
      <c r="A16" s="77" t="s">
        <v>212</v>
      </c>
      <c r="B16" s="78">
        <f>'7. Financials - stormwater'!E$28</f>
        <v>257</v>
      </c>
      <c r="C16" s="78">
        <f>'7. Financials - stormwater'!F$28</f>
        <v>697.34999999999991</v>
      </c>
      <c r="D16" s="78">
        <f>'7. Financials - stormwater'!G$28</f>
        <v>267.89999999999998</v>
      </c>
      <c r="E16" s="78">
        <f>'7. Financials - stormwater'!H$28</f>
        <v>0</v>
      </c>
      <c r="F16" s="78">
        <f>'7. Financials - stormwater'!I$28</f>
        <v>0</v>
      </c>
      <c r="G16" s="78">
        <f>'7. Financials - stormwater'!J$28</f>
        <v>0</v>
      </c>
      <c r="H16" s="78">
        <f>'7. Financials - stormwater'!K$28</f>
        <v>0</v>
      </c>
      <c r="I16" s="78">
        <f>'7. Financials - stormwater'!L$28</f>
        <v>0</v>
      </c>
      <c r="J16" s="78">
        <f>'7. Financials - stormwater'!M$28</f>
        <v>0</v>
      </c>
      <c r="K16" s="78">
        <f>'7. Financials - stormwater'!N$28</f>
        <v>0</v>
      </c>
    </row>
    <row r="17" spans="1:11" ht="15" thickBot="1">
      <c r="A17" s="77" t="s">
        <v>213</v>
      </c>
      <c r="B17" s="78">
        <f>'7. Financials - stormwater'!E$29</f>
        <v>0</v>
      </c>
      <c r="C17" s="78">
        <f>'7. Financials - stormwater'!F$29</f>
        <v>1088</v>
      </c>
      <c r="D17" s="78">
        <f>'7. Financials - stormwater'!G$29</f>
        <v>1115</v>
      </c>
      <c r="E17" s="78">
        <f>'7. Financials - stormwater'!H$29</f>
        <v>735.7</v>
      </c>
      <c r="F17" s="78">
        <f>'7. Financials - stormwater'!I$29</f>
        <v>855</v>
      </c>
      <c r="G17" s="78">
        <f>'7. Financials - stormwater'!J$29</f>
        <v>1416.3594826006338</v>
      </c>
      <c r="H17" s="78">
        <f>'7. Financials - stormwater'!K$29</f>
        <v>2142.1535842347921</v>
      </c>
      <c r="I17" s="78">
        <f>'7. Financials - stormwater'!L$29</f>
        <v>2198.7282676054106</v>
      </c>
      <c r="J17" s="78">
        <f>'7. Financials - stormwater'!M$29</f>
        <v>1786.345280091226</v>
      </c>
      <c r="K17" s="78">
        <f>'7. Financials - stormwater'!N$29</f>
        <v>1180.8144971642066</v>
      </c>
    </row>
    <row r="18" spans="1:11" ht="15" thickBot="1">
      <c r="A18" s="77" t="s">
        <v>214</v>
      </c>
      <c r="B18" s="78">
        <f>'7. Financials - stormwater'!E$30</f>
        <v>944.34627999999998</v>
      </c>
      <c r="C18" s="78">
        <f>'7. Financials - stormwater'!F$30</f>
        <v>1278.6983299999999</v>
      </c>
      <c r="D18" s="78">
        <f>'7. Financials - stormwater'!G$30</f>
        <v>2835.6651299999994</v>
      </c>
      <c r="E18" s="78">
        <f>'7. Financials - stormwater'!H$30</f>
        <v>1921.2363500000001</v>
      </c>
      <c r="F18" s="78">
        <f>'7. Financials - stormwater'!I$30</f>
        <v>1969.93652</v>
      </c>
      <c r="G18" s="78">
        <f>'7. Financials - stormwater'!J$30</f>
        <v>2072.5277184833594</v>
      </c>
      <c r="H18" s="78">
        <f>'7. Financials - stormwater'!K$30</f>
        <v>1881.9241738120334</v>
      </c>
      <c r="I18" s="78">
        <f>'7. Financials - stormwater'!L$30</f>
        <v>1880.6353070403457</v>
      </c>
      <c r="J18" s="78">
        <f>'7. Financials - stormwater'!M$30</f>
        <v>1934.7325582421417</v>
      </c>
      <c r="K18" s="78">
        <f>'7. Financials - stormwater'!N$30</f>
        <v>1978.7812319515506</v>
      </c>
    </row>
    <row r="19" spans="1:11" ht="15" thickBot="1">
      <c r="A19" s="79" t="s">
        <v>217</v>
      </c>
      <c r="B19" s="80">
        <f t="shared" ref="B19:K19" si="2">SUM(B16:B18)</f>
        <v>1201.34628</v>
      </c>
      <c r="C19" s="80">
        <f t="shared" si="2"/>
        <v>3064.0483299999996</v>
      </c>
      <c r="D19" s="80">
        <f t="shared" si="2"/>
        <v>4218.565129999999</v>
      </c>
      <c r="E19" s="80">
        <f t="shared" si="2"/>
        <v>2656.9363499999999</v>
      </c>
      <c r="F19" s="80">
        <f t="shared" si="2"/>
        <v>2824.9365200000002</v>
      </c>
      <c r="G19" s="80">
        <f t="shared" si="2"/>
        <v>3488.8872010839932</v>
      </c>
      <c r="H19" s="80">
        <f t="shared" si="2"/>
        <v>4024.0777580468257</v>
      </c>
      <c r="I19" s="80">
        <f t="shared" si="2"/>
        <v>4079.3635746457562</v>
      </c>
      <c r="J19" s="80">
        <f t="shared" si="2"/>
        <v>3721.0778383333677</v>
      </c>
      <c r="K19" s="80">
        <f t="shared" si="2"/>
        <v>3159.5957291157574</v>
      </c>
    </row>
    <row r="20" spans="1:11" ht="5.25" customHeight="1" thickBot="1"/>
    <row r="21" spans="1:11" ht="15" thickBot="1">
      <c r="A21" s="79" t="s">
        <v>218</v>
      </c>
      <c r="B21" s="80">
        <f t="shared" ref="B21:K21" si="3">B7+B13+B19</f>
        <v>41524.374410000004</v>
      </c>
      <c r="C21" s="80">
        <f t="shared" si="3"/>
        <v>53223.330120000006</v>
      </c>
      <c r="D21" s="80">
        <f t="shared" si="3"/>
        <v>57442.128289999993</v>
      </c>
      <c r="E21" s="80">
        <f t="shared" si="3"/>
        <v>63763.496249500007</v>
      </c>
      <c r="F21" s="80">
        <f t="shared" si="3"/>
        <v>53050.241678500002</v>
      </c>
      <c r="G21" s="80">
        <f t="shared" si="3"/>
        <v>42078.48895198667</v>
      </c>
      <c r="H21" s="80">
        <f t="shared" si="3"/>
        <v>44572.895025788021</v>
      </c>
      <c r="I21" s="80">
        <f t="shared" si="3"/>
        <v>39657.010156909637</v>
      </c>
      <c r="J21" s="80">
        <f t="shared" si="3"/>
        <v>36708.107215258475</v>
      </c>
      <c r="K21" s="80">
        <f t="shared" si="3"/>
        <v>34531.708187991491</v>
      </c>
    </row>
    <row r="22" spans="1:11" ht="15.65" customHeight="1"/>
    <row r="24" spans="1:11" s="93" customFormat="1" ht="15" thickBot="1">
      <c r="A24" s="92" t="s">
        <v>219</v>
      </c>
      <c r="B24" s="133" t="s">
        <v>220</v>
      </c>
      <c r="C24" s="133"/>
      <c r="D24" s="133"/>
      <c r="E24" s="133"/>
      <c r="F24" s="133" t="s">
        <v>221</v>
      </c>
      <c r="G24" s="133"/>
      <c r="H24" s="133"/>
      <c r="I24" s="133"/>
    </row>
    <row r="25" spans="1:11" s="93" customFormat="1" ht="29.5" thickBot="1">
      <c r="A25" s="94"/>
      <c r="B25" s="94" t="s">
        <v>222</v>
      </c>
      <c r="C25" s="94" t="s">
        <v>223</v>
      </c>
      <c r="D25" s="94" t="s">
        <v>224</v>
      </c>
      <c r="E25" s="94" t="s">
        <v>171</v>
      </c>
      <c r="F25" s="94" t="s">
        <v>222</v>
      </c>
      <c r="G25" s="94" t="s">
        <v>223</v>
      </c>
      <c r="H25" s="94" t="s">
        <v>224</v>
      </c>
      <c r="I25" s="94" t="s">
        <v>171</v>
      </c>
    </row>
    <row r="26" spans="1:11" s="93" customFormat="1" ht="15" thickBot="1">
      <c r="A26" s="95" t="s">
        <v>225</v>
      </c>
      <c r="B26" s="96">
        <v>3690</v>
      </c>
      <c r="C26" s="96">
        <v>10576</v>
      </c>
      <c r="D26" s="96">
        <v>7382</v>
      </c>
      <c r="E26" s="96">
        <f>SUM(B26:D26)</f>
        <v>21648</v>
      </c>
      <c r="F26" s="96">
        <v>9820</v>
      </c>
      <c r="G26" s="96">
        <v>27649</v>
      </c>
      <c r="H26" s="96">
        <v>14703</v>
      </c>
      <c r="I26" s="96">
        <f>SUM(F26:H26)</f>
        <v>52172</v>
      </c>
    </row>
    <row r="27" spans="1:11" s="93" customFormat="1" ht="15" thickBot="1">
      <c r="A27" s="95" t="s">
        <v>226</v>
      </c>
      <c r="B27" s="96">
        <v>3403</v>
      </c>
      <c r="C27" s="96">
        <v>10025</v>
      </c>
      <c r="D27" s="96">
        <v>10445</v>
      </c>
      <c r="E27" s="96">
        <f>SUM(B27:D27)</f>
        <v>23873</v>
      </c>
      <c r="F27" s="96">
        <v>6264</v>
      </c>
      <c r="G27" s="96">
        <v>21781</v>
      </c>
      <c r="H27" s="96">
        <v>23076</v>
      </c>
      <c r="I27" s="96">
        <f>SUM(F27:H27)</f>
        <v>51121</v>
      </c>
    </row>
    <row r="28" spans="1:11" s="93" customFormat="1" ht="15" thickBot="1">
      <c r="A28" s="95" t="s">
        <v>227</v>
      </c>
      <c r="B28" s="97">
        <f t="shared" ref="B28:I28" si="4">B27/B26</f>
        <v>0.92222222222222228</v>
      </c>
      <c r="C28" s="97">
        <f t="shared" si="4"/>
        <v>0.94790090771558244</v>
      </c>
      <c r="D28" s="97">
        <f t="shared" si="4"/>
        <v>1.4149282037388242</v>
      </c>
      <c r="E28" s="97">
        <f t="shared" si="4"/>
        <v>1.1027808573540281</v>
      </c>
      <c r="F28" s="97">
        <f t="shared" si="4"/>
        <v>0.6378818737270876</v>
      </c>
      <c r="G28" s="97">
        <f t="shared" si="4"/>
        <v>0.78776809287858507</v>
      </c>
      <c r="H28" s="97">
        <f t="shared" si="4"/>
        <v>1.5694756172209754</v>
      </c>
      <c r="I28" s="97">
        <f t="shared" si="4"/>
        <v>0.97985509468680521</v>
      </c>
    </row>
    <row r="29" spans="1:11" s="93" customFormat="1"/>
    <row r="30" spans="1:11" s="93" customFormat="1" ht="15" thickBot="1"/>
    <row r="31" spans="1:11" s="93" customFormat="1" ht="15" thickBot="1">
      <c r="A31" s="98" t="s">
        <v>228</v>
      </c>
      <c r="B31" s="99" t="s">
        <v>86</v>
      </c>
      <c r="C31" s="99" t="s">
        <v>87</v>
      </c>
      <c r="D31" s="99" t="s">
        <v>88</v>
      </c>
      <c r="E31" s="99" t="s">
        <v>89</v>
      </c>
      <c r="F31" s="99" t="s">
        <v>90</v>
      </c>
      <c r="G31" s="99" t="s">
        <v>91</v>
      </c>
      <c r="H31" s="99" t="s">
        <v>92</v>
      </c>
      <c r="I31" s="99" t="s">
        <v>93</v>
      </c>
      <c r="J31" s="99" t="s">
        <v>94</v>
      </c>
      <c r="K31" s="99" t="s">
        <v>95</v>
      </c>
    </row>
    <row r="32" spans="1:11" s="93" customFormat="1" ht="15" thickBot="1">
      <c r="A32" s="95" t="s">
        <v>229</v>
      </c>
      <c r="B32" s="100"/>
      <c r="C32" s="100"/>
      <c r="D32" s="100"/>
      <c r="E32" s="100"/>
      <c r="F32" s="100"/>
      <c r="G32" s="100"/>
      <c r="H32" s="100"/>
      <c r="I32" s="100"/>
      <c r="J32" s="100"/>
      <c r="K32" s="100"/>
    </row>
    <row r="33" spans="1:12" s="93" customFormat="1" ht="15" thickBot="1">
      <c r="A33" s="95"/>
      <c r="B33" s="96"/>
      <c r="C33" s="96"/>
      <c r="D33" s="96"/>
      <c r="E33" s="96"/>
      <c r="F33" s="96"/>
      <c r="G33" s="96"/>
      <c r="H33" s="96"/>
      <c r="I33" s="96"/>
      <c r="J33" s="96"/>
      <c r="K33" s="96"/>
      <c r="L33" s="93">
        <v>1</v>
      </c>
    </row>
    <row r="34" spans="1:12" s="93" customFormat="1" ht="15" thickBot="1">
      <c r="A34" s="95"/>
      <c r="B34" s="96"/>
      <c r="C34" s="96"/>
      <c r="D34" s="96"/>
      <c r="E34" s="96"/>
      <c r="F34" s="96"/>
      <c r="G34" s="96"/>
      <c r="H34" s="96"/>
      <c r="I34" s="96"/>
      <c r="J34" s="96"/>
      <c r="K34" s="96"/>
    </row>
    <row r="35" spans="1:12" s="93" customFormat="1" ht="15" thickBot="1">
      <c r="A35" s="95"/>
      <c r="B35" s="96"/>
      <c r="C35" s="96"/>
      <c r="D35" s="96"/>
      <c r="E35" s="96"/>
      <c r="F35" s="96"/>
      <c r="G35" s="96"/>
      <c r="H35" s="96"/>
      <c r="I35" s="96"/>
      <c r="J35" s="96"/>
      <c r="K35" s="96"/>
    </row>
    <row r="36" spans="1:12" s="93" customFormat="1" ht="15" thickBot="1">
      <c r="A36" s="95" t="s">
        <v>230</v>
      </c>
      <c r="B36" s="96">
        <f t="shared" ref="B36:K36" si="5">SUM(B33:B35)</f>
        <v>0</v>
      </c>
      <c r="C36" s="96">
        <f t="shared" si="5"/>
        <v>0</v>
      </c>
      <c r="D36" s="96">
        <f t="shared" si="5"/>
        <v>0</v>
      </c>
      <c r="E36" s="96">
        <f t="shared" si="5"/>
        <v>0</v>
      </c>
      <c r="F36" s="96">
        <f t="shared" si="5"/>
        <v>0</v>
      </c>
      <c r="G36" s="96">
        <f t="shared" si="5"/>
        <v>0</v>
      </c>
      <c r="H36" s="96">
        <f t="shared" si="5"/>
        <v>0</v>
      </c>
      <c r="I36" s="96">
        <f t="shared" si="5"/>
        <v>0</v>
      </c>
      <c r="J36" s="96">
        <f t="shared" si="5"/>
        <v>0</v>
      </c>
      <c r="K36" s="96">
        <f t="shared" si="5"/>
        <v>0</v>
      </c>
    </row>
    <row r="37" spans="1:12" s="93" customFormat="1" ht="15" thickBot="1"/>
    <row r="38" spans="1:12" s="93" customFormat="1" ht="15" thickBot="1">
      <c r="A38" s="95" t="s">
        <v>231</v>
      </c>
      <c r="B38" s="100"/>
      <c r="C38" s="100"/>
      <c r="D38" s="100"/>
      <c r="E38" s="100"/>
      <c r="F38" s="100"/>
      <c r="G38" s="100"/>
      <c r="H38" s="100"/>
      <c r="I38" s="100"/>
      <c r="J38" s="100"/>
      <c r="K38" s="100"/>
    </row>
    <row r="39" spans="1:12" s="93" customFormat="1" ht="15" thickBot="1">
      <c r="A39" s="95"/>
      <c r="B39" s="96"/>
      <c r="C39" s="96"/>
      <c r="D39" s="96"/>
      <c r="E39" s="96"/>
      <c r="F39" s="96"/>
      <c r="G39" s="96"/>
      <c r="H39" s="96"/>
      <c r="I39" s="96"/>
      <c r="J39" s="96"/>
      <c r="K39" s="96"/>
    </row>
    <row r="40" spans="1:12" s="93" customFormat="1" ht="15" thickBot="1">
      <c r="A40" s="95"/>
      <c r="B40" s="96"/>
      <c r="C40" s="96"/>
      <c r="D40" s="96"/>
      <c r="E40" s="96"/>
      <c r="F40" s="96"/>
      <c r="G40" s="96"/>
      <c r="H40" s="96"/>
      <c r="I40" s="96"/>
      <c r="J40" s="96"/>
      <c r="K40" s="96"/>
    </row>
    <row r="41" spans="1:12" s="93" customFormat="1" ht="15" thickBot="1">
      <c r="A41" s="95"/>
      <c r="B41" s="96"/>
      <c r="C41" s="96"/>
      <c r="D41" s="96"/>
      <c r="E41" s="96"/>
      <c r="F41" s="96"/>
      <c r="G41" s="96"/>
      <c r="H41" s="96"/>
      <c r="I41" s="96"/>
      <c r="J41" s="96"/>
      <c r="K41" s="96"/>
    </row>
    <row r="42" spans="1:12" s="93" customFormat="1" ht="15" thickBot="1">
      <c r="A42" s="95" t="s">
        <v>232</v>
      </c>
      <c r="B42" s="96">
        <f t="shared" ref="B42:K42" si="6">SUM(B39:B41)</f>
        <v>0</v>
      </c>
      <c r="C42" s="96">
        <f t="shared" si="6"/>
        <v>0</v>
      </c>
      <c r="D42" s="96">
        <f t="shared" si="6"/>
        <v>0</v>
      </c>
      <c r="E42" s="96">
        <f t="shared" si="6"/>
        <v>0</v>
      </c>
      <c r="F42" s="96">
        <f t="shared" si="6"/>
        <v>0</v>
      </c>
      <c r="G42" s="96">
        <f t="shared" si="6"/>
        <v>0</v>
      </c>
      <c r="H42" s="96">
        <f t="shared" si="6"/>
        <v>0</v>
      </c>
      <c r="I42" s="96">
        <f t="shared" si="6"/>
        <v>0</v>
      </c>
      <c r="J42" s="96">
        <f t="shared" si="6"/>
        <v>0</v>
      </c>
      <c r="K42" s="96">
        <f t="shared" si="6"/>
        <v>0</v>
      </c>
    </row>
    <row r="43" spans="1:12" s="93" customFormat="1" ht="15" thickBot="1"/>
    <row r="44" spans="1:12" s="93" customFormat="1" ht="15" thickBot="1">
      <c r="A44" s="95" t="s">
        <v>233</v>
      </c>
      <c r="B44" s="100"/>
      <c r="C44" s="100"/>
      <c r="D44" s="100"/>
      <c r="E44" s="100"/>
      <c r="F44" s="100"/>
      <c r="G44" s="100"/>
      <c r="H44" s="100"/>
      <c r="I44" s="100"/>
      <c r="J44" s="100"/>
      <c r="K44" s="100"/>
    </row>
    <row r="45" spans="1:12" s="93" customFormat="1" ht="15" thickBot="1">
      <c r="A45" s="95"/>
      <c r="B45" s="96"/>
      <c r="C45" s="96"/>
      <c r="D45" s="96"/>
      <c r="E45" s="96"/>
      <c r="F45" s="96"/>
      <c r="G45" s="96"/>
      <c r="H45" s="96"/>
      <c r="I45" s="96"/>
      <c r="J45" s="96"/>
      <c r="K45" s="96"/>
    </row>
    <row r="46" spans="1:12" s="93" customFormat="1" ht="15" thickBot="1">
      <c r="A46" s="95"/>
      <c r="B46" s="96"/>
      <c r="C46" s="96"/>
      <c r="D46" s="96"/>
      <c r="E46" s="96"/>
      <c r="F46" s="96"/>
      <c r="G46" s="96"/>
      <c r="H46" s="96"/>
      <c r="I46" s="96"/>
      <c r="J46" s="96"/>
      <c r="K46" s="96"/>
    </row>
    <row r="47" spans="1:12" s="93" customFormat="1" ht="15" thickBot="1">
      <c r="A47" s="95"/>
      <c r="B47" s="96"/>
      <c r="C47" s="96"/>
      <c r="D47" s="96"/>
      <c r="E47" s="96"/>
      <c r="F47" s="96"/>
      <c r="G47" s="96"/>
      <c r="H47" s="96"/>
      <c r="I47" s="96"/>
      <c r="J47" s="96"/>
      <c r="K47" s="96"/>
    </row>
    <row r="48" spans="1:12" s="93" customFormat="1" ht="15" thickBot="1">
      <c r="A48" s="95" t="s">
        <v>234</v>
      </c>
      <c r="B48" s="96">
        <f t="shared" ref="B48:K48" si="7">SUM(B45:B47)</f>
        <v>0</v>
      </c>
      <c r="C48" s="96">
        <f t="shared" si="7"/>
        <v>0</v>
      </c>
      <c r="D48" s="96">
        <f t="shared" si="7"/>
        <v>0</v>
      </c>
      <c r="E48" s="96">
        <f t="shared" si="7"/>
        <v>0</v>
      </c>
      <c r="F48" s="96">
        <f t="shared" si="7"/>
        <v>0</v>
      </c>
      <c r="G48" s="96">
        <f t="shared" si="7"/>
        <v>0</v>
      </c>
      <c r="H48" s="96">
        <f t="shared" si="7"/>
        <v>0</v>
      </c>
      <c r="I48" s="96">
        <f t="shared" si="7"/>
        <v>0</v>
      </c>
      <c r="J48" s="96">
        <f t="shared" si="7"/>
        <v>0</v>
      </c>
      <c r="K48" s="96">
        <f t="shared" si="7"/>
        <v>0</v>
      </c>
    </row>
    <row r="49" spans="1:11" s="93" customFormat="1" ht="15" thickBot="1"/>
    <row r="50" spans="1:11" s="93" customFormat="1" ht="15" thickBot="1">
      <c r="A50" s="95" t="s">
        <v>235</v>
      </c>
      <c r="B50" s="96">
        <f t="shared" ref="B50:K50" si="8">B36+B42+B48</f>
        <v>0</v>
      </c>
      <c r="C50" s="96">
        <f t="shared" si="8"/>
        <v>0</v>
      </c>
      <c r="D50" s="96">
        <f t="shared" si="8"/>
        <v>0</v>
      </c>
      <c r="E50" s="96">
        <f t="shared" si="8"/>
        <v>0</v>
      </c>
      <c r="F50" s="96">
        <f t="shared" si="8"/>
        <v>0</v>
      </c>
      <c r="G50" s="96">
        <f t="shared" si="8"/>
        <v>0</v>
      </c>
      <c r="H50" s="96">
        <f t="shared" si="8"/>
        <v>0</v>
      </c>
      <c r="I50" s="96">
        <f t="shared" si="8"/>
        <v>0</v>
      </c>
      <c r="J50" s="96">
        <f t="shared" si="8"/>
        <v>0</v>
      </c>
      <c r="K50" s="96">
        <f t="shared" si="8"/>
        <v>0</v>
      </c>
    </row>
    <row r="51" spans="1:11" s="93" customFormat="1"/>
    <row r="52" spans="1:11" s="93" customFormat="1" ht="15" thickBot="1"/>
    <row r="53" spans="1:11" s="93" customFormat="1" ht="15" thickBot="1">
      <c r="A53" s="98" t="s">
        <v>236</v>
      </c>
      <c r="B53" s="99" t="s">
        <v>86</v>
      </c>
      <c r="C53" s="99" t="s">
        <v>87</v>
      </c>
      <c r="D53" s="99" t="s">
        <v>88</v>
      </c>
      <c r="E53" s="99" t="s">
        <v>89</v>
      </c>
      <c r="F53" s="99" t="s">
        <v>90</v>
      </c>
      <c r="G53" s="99" t="s">
        <v>91</v>
      </c>
      <c r="H53" s="99" t="s">
        <v>92</v>
      </c>
      <c r="I53" s="99" t="s">
        <v>93</v>
      </c>
      <c r="J53" s="99" t="s">
        <v>94</v>
      </c>
      <c r="K53" s="99" t="s">
        <v>95</v>
      </c>
    </row>
    <row r="54" spans="1:11" s="93" customFormat="1" ht="15" thickBot="1">
      <c r="A54" s="95" t="s">
        <v>229</v>
      </c>
      <c r="B54" s="100"/>
      <c r="C54" s="100"/>
      <c r="D54" s="100"/>
      <c r="E54" s="100"/>
      <c r="F54" s="100"/>
      <c r="G54" s="100"/>
      <c r="H54" s="100"/>
      <c r="I54" s="100"/>
      <c r="J54" s="100"/>
      <c r="K54" s="100"/>
    </row>
    <row r="55" spans="1:11" s="93" customFormat="1" ht="15" thickBot="1">
      <c r="A55" s="95"/>
      <c r="B55" s="96"/>
      <c r="C55" s="96"/>
      <c r="D55" s="96"/>
      <c r="E55" s="96"/>
      <c r="F55" s="96"/>
      <c r="G55" s="96"/>
      <c r="H55" s="96"/>
      <c r="I55" s="96"/>
      <c r="J55" s="96"/>
      <c r="K55" s="96"/>
    </row>
    <row r="56" spans="1:11" s="93" customFormat="1" ht="15" thickBot="1">
      <c r="A56" s="95"/>
      <c r="B56" s="96"/>
      <c r="C56" s="96"/>
      <c r="D56" s="96"/>
      <c r="E56" s="96"/>
      <c r="F56" s="96"/>
      <c r="G56" s="96"/>
      <c r="H56" s="96"/>
      <c r="I56" s="96"/>
      <c r="J56" s="96"/>
      <c r="K56" s="96"/>
    </row>
    <row r="57" spans="1:11" s="93" customFormat="1" ht="15" thickBot="1">
      <c r="A57" s="95"/>
      <c r="B57" s="96"/>
      <c r="C57" s="96"/>
      <c r="D57" s="96"/>
      <c r="E57" s="96"/>
      <c r="F57" s="96"/>
      <c r="G57" s="96"/>
      <c r="H57" s="96"/>
      <c r="I57" s="96"/>
      <c r="J57" s="96"/>
      <c r="K57" s="96"/>
    </row>
    <row r="58" spans="1:11" s="93" customFormat="1" ht="15" thickBot="1">
      <c r="A58" s="95" t="s">
        <v>230</v>
      </c>
      <c r="B58" s="96">
        <f t="shared" ref="B58:K58" si="9">SUM(B55:B57)</f>
        <v>0</v>
      </c>
      <c r="C58" s="96">
        <f t="shared" si="9"/>
        <v>0</v>
      </c>
      <c r="D58" s="96">
        <f t="shared" si="9"/>
        <v>0</v>
      </c>
      <c r="E58" s="96">
        <f t="shared" si="9"/>
        <v>0</v>
      </c>
      <c r="F58" s="96">
        <f t="shared" si="9"/>
        <v>0</v>
      </c>
      <c r="G58" s="96">
        <f t="shared" si="9"/>
        <v>0</v>
      </c>
      <c r="H58" s="96">
        <f t="shared" si="9"/>
        <v>0</v>
      </c>
      <c r="I58" s="96">
        <f t="shared" si="9"/>
        <v>0</v>
      </c>
      <c r="J58" s="96">
        <f t="shared" si="9"/>
        <v>0</v>
      </c>
      <c r="K58" s="96">
        <f t="shared" si="9"/>
        <v>0</v>
      </c>
    </row>
    <row r="59" spans="1:11" s="93" customFormat="1" ht="15" thickBot="1"/>
    <row r="60" spans="1:11" s="93" customFormat="1" ht="15" thickBot="1">
      <c r="A60" s="95" t="s">
        <v>231</v>
      </c>
      <c r="B60" s="100"/>
      <c r="C60" s="100"/>
      <c r="D60" s="100"/>
      <c r="E60" s="100"/>
      <c r="F60" s="100"/>
      <c r="G60" s="100"/>
      <c r="H60" s="100"/>
      <c r="I60" s="100"/>
      <c r="J60" s="100"/>
      <c r="K60" s="100"/>
    </row>
    <row r="61" spans="1:11" s="93" customFormat="1" ht="15" thickBot="1">
      <c r="A61" s="95"/>
      <c r="B61" s="96"/>
      <c r="C61" s="96"/>
      <c r="D61" s="96"/>
      <c r="E61" s="96"/>
      <c r="F61" s="96"/>
      <c r="G61" s="96"/>
      <c r="H61" s="96"/>
      <c r="I61" s="96"/>
      <c r="J61" s="96"/>
      <c r="K61" s="96"/>
    </row>
    <row r="62" spans="1:11" s="93" customFormat="1" ht="15" thickBot="1">
      <c r="A62" s="95"/>
      <c r="B62" s="96"/>
      <c r="C62" s="96"/>
      <c r="D62" s="96"/>
      <c r="E62" s="96"/>
      <c r="F62" s="96"/>
      <c r="G62" s="96"/>
      <c r="H62" s="96"/>
      <c r="I62" s="96"/>
      <c r="J62" s="96"/>
      <c r="K62" s="96"/>
    </row>
    <row r="63" spans="1:11" s="93" customFormat="1" ht="15" thickBot="1">
      <c r="A63" s="95"/>
      <c r="B63" s="96"/>
      <c r="C63" s="96"/>
      <c r="D63" s="96"/>
      <c r="E63" s="96"/>
      <c r="F63" s="96"/>
      <c r="G63" s="96"/>
      <c r="H63" s="96"/>
      <c r="I63" s="96"/>
      <c r="J63" s="96"/>
      <c r="K63" s="96"/>
    </row>
    <row r="64" spans="1:11" s="93" customFormat="1" ht="15" thickBot="1">
      <c r="A64" s="95" t="s">
        <v>232</v>
      </c>
      <c r="B64" s="96">
        <f t="shared" ref="B64:K64" si="10">SUM(B61:B63)</f>
        <v>0</v>
      </c>
      <c r="C64" s="96">
        <f t="shared" si="10"/>
        <v>0</v>
      </c>
      <c r="D64" s="96">
        <f t="shared" si="10"/>
        <v>0</v>
      </c>
      <c r="E64" s="96">
        <f t="shared" si="10"/>
        <v>0</v>
      </c>
      <c r="F64" s="96">
        <f t="shared" si="10"/>
        <v>0</v>
      </c>
      <c r="G64" s="96">
        <f t="shared" si="10"/>
        <v>0</v>
      </c>
      <c r="H64" s="96">
        <f t="shared" si="10"/>
        <v>0</v>
      </c>
      <c r="I64" s="96">
        <f t="shared" si="10"/>
        <v>0</v>
      </c>
      <c r="J64" s="96">
        <f t="shared" si="10"/>
        <v>0</v>
      </c>
      <c r="K64" s="96">
        <f t="shared" si="10"/>
        <v>0</v>
      </c>
    </row>
    <row r="65" spans="1:11" s="93" customFormat="1" ht="15" thickBot="1"/>
    <row r="66" spans="1:11" s="93" customFormat="1" ht="15" thickBot="1">
      <c r="A66" s="95" t="s">
        <v>233</v>
      </c>
      <c r="B66" s="100"/>
      <c r="C66" s="100"/>
      <c r="D66" s="100"/>
      <c r="E66" s="100"/>
      <c r="F66" s="100"/>
      <c r="G66" s="100"/>
      <c r="H66" s="100"/>
      <c r="I66" s="100"/>
      <c r="J66" s="100"/>
      <c r="K66" s="100"/>
    </row>
    <row r="67" spans="1:11" s="93" customFormat="1" ht="15" thickBot="1">
      <c r="A67" s="95"/>
      <c r="B67" s="96"/>
      <c r="C67" s="96"/>
      <c r="D67" s="96"/>
      <c r="E67" s="96"/>
      <c r="F67" s="96"/>
      <c r="G67" s="96"/>
      <c r="H67" s="96"/>
      <c r="I67" s="96"/>
      <c r="J67" s="96"/>
      <c r="K67" s="96"/>
    </row>
    <row r="68" spans="1:11" s="93" customFormat="1" ht="15" thickBot="1">
      <c r="A68" s="95"/>
      <c r="B68" s="96"/>
      <c r="C68" s="96"/>
      <c r="D68" s="96"/>
      <c r="E68" s="96"/>
      <c r="F68" s="96"/>
      <c r="G68" s="96"/>
      <c r="H68" s="96"/>
      <c r="I68" s="96"/>
      <c r="J68" s="96"/>
      <c r="K68" s="96"/>
    </row>
    <row r="69" spans="1:11" s="93" customFormat="1" ht="15" thickBot="1">
      <c r="A69" s="95"/>
      <c r="B69" s="96"/>
      <c r="C69" s="96"/>
      <c r="D69" s="96"/>
      <c r="E69" s="96"/>
      <c r="F69" s="96"/>
      <c r="G69" s="96"/>
      <c r="H69" s="96"/>
      <c r="I69" s="96"/>
      <c r="J69" s="96"/>
      <c r="K69" s="96"/>
    </row>
    <row r="70" spans="1:11" s="93" customFormat="1" ht="15" thickBot="1">
      <c r="A70" s="95" t="s">
        <v>234</v>
      </c>
      <c r="B70" s="96">
        <f t="shared" ref="B70:K70" si="11">SUM(B67:B69)</f>
        <v>0</v>
      </c>
      <c r="C70" s="96">
        <f t="shared" si="11"/>
        <v>0</v>
      </c>
      <c r="D70" s="96">
        <f t="shared" si="11"/>
        <v>0</v>
      </c>
      <c r="E70" s="96">
        <f t="shared" si="11"/>
        <v>0</v>
      </c>
      <c r="F70" s="96">
        <f t="shared" si="11"/>
        <v>0</v>
      </c>
      <c r="G70" s="96">
        <f t="shared" si="11"/>
        <v>0</v>
      </c>
      <c r="H70" s="96">
        <f t="shared" si="11"/>
        <v>0</v>
      </c>
      <c r="I70" s="96">
        <f t="shared" si="11"/>
        <v>0</v>
      </c>
      <c r="J70" s="96">
        <f t="shared" si="11"/>
        <v>0</v>
      </c>
      <c r="K70" s="96">
        <f t="shared" si="11"/>
        <v>0</v>
      </c>
    </row>
    <row r="71" spans="1:11" s="93" customFormat="1" ht="15" thickBot="1"/>
    <row r="72" spans="1:11" s="93" customFormat="1" ht="15" thickBot="1">
      <c r="A72" s="95" t="s">
        <v>237</v>
      </c>
      <c r="B72" s="96">
        <f t="shared" ref="B72:K72" si="12">B58+B64+B70</f>
        <v>0</v>
      </c>
      <c r="C72" s="96">
        <f t="shared" si="12"/>
        <v>0</v>
      </c>
      <c r="D72" s="96">
        <f t="shared" si="12"/>
        <v>0</v>
      </c>
      <c r="E72" s="96">
        <f t="shared" si="12"/>
        <v>0</v>
      </c>
      <c r="F72" s="96">
        <f t="shared" si="12"/>
        <v>0</v>
      </c>
      <c r="G72" s="96">
        <f t="shared" si="12"/>
        <v>0</v>
      </c>
      <c r="H72" s="96">
        <f t="shared" si="12"/>
        <v>0</v>
      </c>
      <c r="I72" s="96">
        <f t="shared" si="12"/>
        <v>0</v>
      </c>
      <c r="J72" s="96">
        <f t="shared" si="12"/>
        <v>0</v>
      </c>
      <c r="K72" s="96">
        <f t="shared" si="12"/>
        <v>0</v>
      </c>
    </row>
    <row r="73" spans="1:11" s="93" customFormat="1"/>
    <row r="74" spans="1:11" s="93" customFormat="1" ht="15" thickBot="1"/>
    <row r="75" spans="1:11" s="93" customFormat="1" ht="15" thickBot="1">
      <c r="A75" s="98" t="s">
        <v>238</v>
      </c>
      <c r="B75" s="99" t="s">
        <v>86</v>
      </c>
      <c r="C75" s="99" t="s">
        <v>87</v>
      </c>
      <c r="D75" s="99" t="s">
        <v>88</v>
      </c>
      <c r="E75" s="99" t="s">
        <v>89</v>
      </c>
      <c r="F75" s="99" t="s">
        <v>90</v>
      </c>
      <c r="G75" s="99" t="s">
        <v>91</v>
      </c>
      <c r="H75" s="99" t="s">
        <v>92</v>
      </c>
      <c r="I75" s="99" t="s">
        <v>93</v>
      </c>
      <c r="J75" s="99" t="s">
        <v>94</v>
      </c>
      <c r="K75" s="99" t="s">
        <v>95</v>
      </c>
    </row>
    <row r="76" spans="1:11" s="93" customFormat="1" ht="15" thickBot="1">
      <c r="A76" s="95" t="s">
        <v>229</v>
      </c>
      <c r="B76" s="100"/>
      <c r="C76" s="100"/>
      <c r="D76" s="100"/>
      <c r="E76" s="100"/>
      <c r="F76" s="100"/>
      <c r="G76" s="100"/>
      <c r="H76" s="100"/>
      <c r="I76" s="100"/>
      <c r="J76" s="100"/>
      <c r="K76" s="100"/>
    </row>
    <row r="77" spans="1:11" s="93" customFormat="1" ht="15" thickBot="1">
      <c r="A77" s="95"/>
      <c r="B77" s="96"/>
      <c r="C77" s="96"/>
      <c r="D77" s="96"/>
      <c r="E77" s="96"/>
      <c r="F77" s="96"/>
      <c r="G77" s="96"/>
      <c r="H77" s="96"/>
      <c r="I77" s="96"/>
      <c r="J77" s="96"/>
      <c r="K77" s="96"/>
    </row>
    <row r="78" spans="1:11" s="93" customFormat="1" ht="15" thickBot="1">
      <c r="A78" s="95"/>
      <c r="B78" s="96"/>
      <c r="C78" s="96"/>
      <c r="D78" s="96"/>
      <c r="E78" s="96"/>
      <c r="F78" s="96"/>
      <c r="G78" s="96"/>
      <c r="H78" s="96"/>
      <c r="I78" s="96"/>
      <c r="J78" s="96"/>
      <c r="K78" s="96"/>
    </row>
    <row r="79" spans="1:11" s="93" customFormat="1" ht="15" thickBot="1">
      <c r="A79" s="95"/>
      <c r="B79" s="96"/>
      <c r="C79" s="96"/>
      <c r="D79" s="96"/>
      <c r="E79" s="96"/>
      <c r="F79" s="96"/>
      <c r="G79" s="96"/>
      <c r="H79" s="96"/>
      <c r="I79" s="96"/>
      <c r="J79" s="96"/>
      <c r="K79" s="96"/>
    </row>
    <row r="80" spans="1:11" s="93" customFormat="1" ht="15" thickBot="1">
      <c r="A80" s="95" t="s">
        <v>230</v>
      </c>
      <c r="B80" s="96">
        <f t="shared" ref="B80:K80" si="13">SUM(B77:B79)</f>
        <v>0</v>
      </c>
      <c r="C80" s="96">
        <f t="shared" si="13"/>
        <v>0</v>
      </c>
      <c r="D80" s="96">
        <f t="shared" si="13"/>
        <v>0</v>
      </c>
      <c r="E80" s="96">
        <f t="shared" si="13"/>
        <v>0</v>
      </c>
      <c r="F80" s="96">
        <f t="shared" si="13"/>
        <v>0</v>
      </c>
      <c r="G80" s="96">
        <f t="shared" si="13"/>
        <v>0</v>
      </c>
      <c r="H80" s="96">
        <f t="shared" si="13"/>
        <v>0</v>
      </c>
      <c r="I80" s="96">
        <f t="shared" si="13"/>
        <v>0</v>
      </c>
      <c r="J80" s="96">
        <f t="shared" si="13"/>
        <v>0</v>
      </c>
      <c r="K80" s="96">
        <f t="shared" si="13"/>
        <v>0</v>
      </c>
    </row>
    <row r="81" spans="1:11" s="93" customFormat="1" ht="15" thickBot="1"/>
    <row r="82" spans="1:11" s="93" customFormat="1" ht="15" thickBot="1">
      <c r="A82" s="95" t="s">
        <v>231</v>
      </c>
      <c r="B82" s="100"/>
      <c r="C82" s="100"/>
      <c r="D82" s="100"/>
      <c r="E82" s="100"/>
      <c r="F82" s="100"/>
      <c r="G82" s="100"/>
      <c r="H82" s="100"/>
      <c r="I82" s="100"/>
      <c r="J82" s="100"/>
      <c r="K82" s="100"/>
    </row>
    <row r="83" spans="1:11" s="93" customFormat="1" ht="15" thickBot="1">
      <c r="A83" s="95"/>
      <c r="B83" s="96"/>
      <c r="C83" s="96"/>
      <c r="D83" s="96"/>
      <c r="E83" s="96"/>
      <c r="F83" s="96"/>
      <c r="G83" s="96"/>
      <c r="H83" s="96"/>
      <c r="I83" s="96"/>
      <c r="J83" s="96"/>
      <c r="K83" s="96"/>
    </row>
    <row r="84" spans="1:11" s="93" customFormat="1" ht="15" thickBot="1">
      <c r="A84" s="95"/>
      <c r="B84" s="96"/>
      <c r="C84" s="96"/>
      <c r="D84" s="96"/>
      <c r="E84" s="96"/>
      <c r="F84" s="96"/>
      <c r="G84" s="96"/>
      <c r="H84" s="96"/>
      <c r="I84" s="96"/>
      <c r="J84" s="96"/>
      <c r="K84" s="96"/>
    </row>
    <row r="85" spans="1:11" s="93" customFormat="1" ht="15" thickBot="1">
      <c r="A85" s="95"/>
      <c r="B85" s="96"/>
      <c r="C85" s="96"/>
      <c r="D85" s="96"/>
      <c r="E85" s="96"/>
      <c r="F85" s="96"/>
      <c r="G85" s="96"/>
      <c r="H85" s="96"/>
      <c r="I85" s="96"/>
      <c r="J85" s="96"/>
      <c r="K85" s="96"/>
    </row>
    <row r="86" spans="1:11" s="93" customFormat="1" ht="15" thickBot="1">
      <c r="A86" s="95" t="s">
        <v>232</v>
      </c>
      <c r="B86" s="96">
        <f t="shared" ref="B86:K86" si="14">SUM(B83:B85)</f>
        <v>0</v>
      </c>
      <c r="C86" s="96">
        <f t="shared" si="14"/>
        <v>0</v>
      </c>
      <c r="D86" s="96">
        <f t="shared" si="14"/>
        <v>0</v>
      </c>
      <c r="E86" s="96">
        <f t="shared" si="14"/>
        <v>0</v>
      </c>
      <c r="F86" s="96">
        <f t="shared" si="14"/>
        <v>0</v>
      </c>
      <c r="G86" s="96">
        <f t="shared" si="14"/>
        <v>0</v>
      </c>
      <c r="H86" s="96">
        <f t="shared" si="14"/>
        <v>0</v>
      </c>
      <c r="I86" s="96">
        <f t="shared" si="14"/>
        <v>0</v>
      </c>
      <c r="J86" s="96">
        <f t="shared" si="14"/>
        <v>0</v>
      </c>
      <c r="K86" s="96">
        <f t="shared" si="14"/>
        <v>0</v>
      </c>
    </row>
    <row r="87" spans="1:11" s="93" customFormat="1" ht="15" thickBot="1"/>
    <row r="88" spans="1:11" s="93" customFormat="1" ht="15" thickBot="1">
      <c r="A88" s="95" t="s">
        <v>233</v>
      </c>
      <c r="B88" s="100"/>
      <c r="C88" s="100"/>
      <c r="D88" s="100"/>
      <c r="E88" s="100"/>
      <c r="F88" s="100"/>
      <c r="G88" s="100"/>
      <c r="H88" s="100"/>
      <c r="I88" s="100"/>
      <c r="J88" s="100"/>
      <c r="K88" s="100"/>
    </row>
    <row r="89" spans="1:11" s="93" customFormat="1" ht="15" thickBot="1">
      <c r="A89" s="95"/>
      <c r="B89" s="96"/>
      <c r="C89" s="96"/>
      <c r="D89" s="96"/>
      <c r="E89" s="96"/>
      <c r="F89" s="96"/>
      <c r="G89" s="96"/>
      <c r="H89" s="96"/>
      <c r="I89" s="96"/>
      <c r="J89" s="96"/>
      <c r="K89" s="96"/>
    </row>
    <row r="90" spans="1:11" s="93" customFormat="1" ht="15" thickBot="1">
      <c r="A90" s="95"/>
      <c r="B90" s="96"/>
      <c r="C90" s="96"/>
      <c r="D90" s="96"/>
      <c r="E90" s="96"/>
      <c r="F90" s="96"/>
      <c r="G90" s="96"/>
      <c r="H90" s="96"/>
      <c r="I90" s="96"/>
      <c r="J90" s="96"/>
      <c r="K90" s="96"/>
    </row>
    <row r="91" spans="1:11" s="93" customFormat="1" ht="15" thickBot="1">
      <c r="A91" s="95"/>
      <c r="B91" s="96"/>
      <c r="C91" s="96"/>
      <c r="D91" s="96"/>
      <c r="E91" s="96"/>
      <c r="F91" s="96"/>
      <c r="G91" s="96"/>
      <c r="H91" s="96"/>
      <c r="I91" s="96"/>
      <c r="J91" s="96"/>
      <c r="K91" s="96"/>
    </row>
    <row r="92" spans="1:11" s="93" customFormat="1" ht="15" thickBot="1">
      <c r="A92" s="95" t="s">
        <v>234</v>
      </c>
      <c r="B92" s="96">
        <f t="shared" ref="B92:K92" si="15">SUM(B89:B91)</f>
        <v>0</v>
      </c>
      <c r="C92" s="96">
        <f t="shared" si="15"/>
        <v>0</v>
      </c>
      <c r="D92" s="96">
        <f t="shared" si="15"/>
        <v>0</v>
      </c>
      <c r="E92" s="96">
        <f t="shared" si="15"/>
        <v>0</v>
      </c>
      <c r="F92" s="96">
        <f t="shared" si="15"/>
        <v>0</v>
      </c>
      <c r="G92" s="96">
        <f t="shared" si="15"/>
        <v>0</v>
      </c>
      <c r="H92" s="96">
        <f t="shared" si="15"/>
        <v>0</v>
      </c>
      <c r="I92" s="96">
        <f t="shared" si="15"/>
        <v>0</v>
      </c>
      <c r="J92" s="96">
        <f t="shared" si="15"/>
        <v>0</v>
      </c>
      <c r="K92" s="96">
        <f t="shared" si="15"/>
        <v>0</v>
      </c>
    </row>
    <row r="93" spans="1:11" s="93" customFormat="1" ht="15" thickBot="1"/>
    <row r="94" spans="1:11" s="93" customFormat="1" ht="15" thickBot="1">
      <c r="A94" s="95" t="s">
        <v>239</v>
      </c>
      <c r="B94" s="96">
        <f t="shared" ref="B94:K94" si="16">B80+B86+B92</f>
        <v>0</v>
      </c>
      <c r="C94" s="96">
        <f t="shared" si="16"/>
        <v>0</v>
      </c>
      <c r="D94" s="96">
        <f t="shared" si="16"/>
        <v>0</v>
      </c>
      <c r="E94" s="96">
        <f t="shared" si="16"/>
        <v>0</v>
      </c>
      <c r="F94" s="96">
        <f t="shared" si="16"/>
        <v>0</v>
      </c>
      <c r="G94" s="96">
        <f t="shared" si="16"/>
        <v>0</v>
      </c>
      <c r="H94" s="96">
        <f t="shared" si="16"/>
        <v>0</v>
      </c>
      <c r="I94" s="96">
        <f t="shared" si="16"/>
        <v>0</v>
      </c>
      <c r="J94" s="96">
        <f t="shared" si="16"/>
        <v>0</v>
      </c>
      <c r="K94" s="96">
        <f t="shared" si="16"/>
        <v>0</v>
      </c>
    </row>
  </sheetData>
  <mergeCells count="2">
    <mergeCell ref="B24:E24"/>
    <mergeCell ref="F24:I24"/>
  </mergeCells>
  <pageMargins left="0.7" right="0.7" top="0.75" bottom="0.75" header="0.3" footer="0.3"/>
  <pageSetup paperSize="9" scale="3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982D5-39CD-4D66-8D46-7A82A2E43DAB}">
  <sheetPr codeName="Sheet29">
    <pageSetUpPr fitToPage="1"/>
  </sheetPr>
  <dimension ref="A1:P98"/>
  <sheetViews>
    <sheetView zoomScale="80" zoomScaleNormal="80" workbookViewId="0">
      <selection activeCell="O33" sqref="O33"/>
    </sheetView>
  </sheetViews>
  <sheetFormatPr defaultColWidth="7.81640625" defaultRowHeight="14.5"/>
  <cols>
    <col min="1" max="1" width="79.7265625" style="1" customWidth="1"/>
    <col min="2" max="2" width="1.81640625" style="1" customWidth="1"/>
    <col min="3" max="3" width="16.7265625" style="1" customWidth="1"/>
    <col min="4" max="4" width="2.26953125" style="1" customWidth="1"/>
    <col min="5" max="16" width="16.7265625" style="1" customWidth="1"/>
    <col min="17" max="26" width="11.1796875" style="1" customWidth="1"/>
    <col min="27" max="16384" width="7.81640625" style="1"/>
  </cols>
  <sheetData>
    <row r="1" spans="1:16" ht="15" thickBot="1">
      <c r="A1" s="81" t="s">
        <v>240</v>
      </c>
      <c r="B1" s="82"/>
      <c r="C1" s="82" t="s">
        <v>96</v>
      </c>
      <c r="D1" s="82"/>
      <c r="E1" s="82" t="s">
        <v>86</v>
      </c>
      <c r="F1" s="82" t="s">
        <v>87</v>
      </c>
      <c r="G1" s="82" t="s">
        <v>88</v>
      </c>
      <c r="H1" s="82" t="s">
        <v>89</v>
      </c>
      <c r="I1" s="82" t="s">
        <v>90</v>
      </c>
      <c r="J1" s="82" t="s">
        <v>91</v>
      </c>
      <c r="K1" s="82" t="s">
        <v>92</v>
      </c>
      <c r="L1" s="82" t="s">
        <v>93</v>
      </c>
      <c r="M1" s="82" t="s">
        <v>94</v>
      </c>
      <c r="N1" s="82" t="s">
        <v>95</v>
      </c>
      <c r="O1" s="83"/>
      <c r="P1" s="82" t="s">
        <v>171</v>
      </c>
    </row>
    <row r="2" spans="1:16" ht="15" thickBot="1">
      <c r="A2" s="43" t="s">
        <v>241</v>
      </c>
      <c r="C2" s="3"/>
      <c r="E2" s="3"/>
      <c r="F2" s="3"/>
      <c r="G2" s="3"/>
      <c r="H2" s="3"/>
      <c r="I2" s="3"/>
      <c r="J2" s="3"/>
      <c r="K2" s="3"/>
      <c r="L2" s="3"/>
      <c r="M2" s="3"/>
      <c r="N2" s="3"/>
      <c r="O2" s="83"/>
      <c r="P2" s="3"/>
    </row>
    <row r="3" spans="1:16" ht="15" thickBot="1">
      <c r="A3" s="4" t="s">
        <v>242</v>
      </c>
      <c r="C3" s="54">
        <f>'5. Financials - drinking water'!C3+'6. Financials - wastewater'!C3+'7. Financials - stormwater'!C3</f>
        <v>1283.4519404335915</v>
      </c>
      <c r="E3" s="54">
        <f>'5. Financials - drinking water'!E3+'6. Financials - wastewater'!E3+'7. Financials - stormwater'!E3</f>
        <v>750.91052000000002</v>
      </c>
      <c r="F3" s="54">
        <f>'5. Financials - drinking water'!F3+'6. Financials - wastewater'!F3+'7. Financials - stormwater'!F3</f>
        <v>854.66520000000003</v>
      </c>
      <c r="G3" s="54">
        <f>'5. Financials - drinking water'!G3+'6. Financials - wastewater'!G3+'7. Financials - stormwater'!G3</f>
        <v>981.79321000000004</v>
      </c>
      <c r="H3" s="54">
        <f>'5. Financials - drinking water'!H3+'6. Financials - wastewater'!H3+'7. Financials - stormwater'!H3</f>
        <v>990.39747</v>
      </c>
      <c r="I3" s="54">
        <f>'5. Financials - drinking water'!I3+'6. Financials - wastewater'!I3+'7. Financials - stormwater'!I3</f>
        <v>1058.3310900000001</v>
      </c>
      <c r="J3" s="54">
        <f>'5. Financials - drinking water'!J3+'6. Financials - wastewater'!J3+'7. Financials - stormwater'!J3</f>
        <v>1122.04972</v>
      </c>
      <c r="K3" s="54">
        <f>'5. Financials - drinking water'!K3+'6. Financials - wastewater'!K3+'7. Financials - stormwater'!K3</f>
        <v>1186.0598399999999</v>
      </c>
      <c r="L3" s="54">
        <f>'5. Financials - drinking water'!L3+'6. Financials - wastewater'!L3+'7. Financials - stormwater'!L3</f>
        <v>1162.2511400000001</v>
      </c>
      <c r="M3" s="54">
        <f>'5. Financials - drinking water'!M3+'6. Financials - wastewater'!M3+'7. Financials - stormwater'!M3</f>
        <v>1171.4835800000001</v>
      </c>
      <c r="N3" s="54">
        <f>'5. Financials - drinking water'!N3+'6. Financials - wastewater'!N3+'7. Financials - stormwater'!N3</f>
        <v>1201.61877</v>
      </c>
      <c r="P3" s="84">
        <f>SUM(E3:N3)</f>
        <v>10479.560540000002</v>
      </c>
    </row>
    <row r="4" spans="1:16" ht="15" thickBot="1">
      <c r="A4" s="4" t="s">
        <v>243</v>
      </c>
      <c r="C4" s="54">
        <f>'5. Financials - drinking water'!C4+'6. Financials - wastewater'!C4+'7. Financials - stormwater'!C4</f>
        <v>36868.615080000003</v>
      </c>
      <c r="E4" s="54">
        <f>'5. Financials - drinking water'!E4+'6. Financials - wastewater'!E4+'7. Financials - stormwater'!E4</f>
        <v>42816.122230000001</v>
      </c>
      <c r="F4" s="54">
        <f>'5. Financials - drinking water'!F4+'6. Financials - wastewater'!F4+'7. Financials - stormwater'!F4</f>
        <v>48130.941220000008</v>
      </c>
      <c r="G4" s="54">
        <f>'5. Financials - drinking water'!G4+'6. Financials - wastewater'!G4+'7. Financials - stormwater'!G4</f>
        <v>53281.67568</v>
      </c>
      <c r="H4" s="54">
        <f>'5. Financials - drinking water'!H4+'6. Financials - wastewater'!H4+'7. Financials - stormwater'!H4</f>
        <v>60079.933779853869</v>
      </c>
      <c r="I4" s="54">
        <f>'5. Financials - drinking water'!I4+'6. Financials - wastewater'!I4+'7. Financials - stormwater'!I4</f>
        <v>66096.262533869594</v>
      </c>
      <c r="J4" s="54">
        <f>'5. Financials - drinking water'!J4+'6. Financials - wastewater'!J4+'7. Financials - stormwater'!J4</f>
        <v>73004.466338467799</v>
      </c>
      <c r="K4" s="54">
        <f>'5. Financials - drinking water'!K4+'6. Financials - wastewater'!K4+'7. Financials - stormwater'!K4</f>
        <v>77415.571202267878</v>
      </c>
      <c r="L4" s="54">
        <f>'5. Financials - drinking water'!L4+'6. Financials - wastewater'!L4+'7. Financials - stormwater'!L4</f>
        <v>81525.377143749487</v>
      </c>
      <c r="M4" s="54">
        <f>'5. Financials - drinking water'!M4+'6. Financials - wastewater'!M4+'7. Financials - stormwater'!M4</f>
        <v>81616.805043784567</v>
      </c>
      <c r="N4" s="54">
        <f>'5. Financials - drinking water'!N4+'6. Financials - wastewater'!N4+'7. Financials - stormwater'!N4</f>
        <v>82783.558182380148</v>
      </c>
      <c r="P4" s="84">
        <f>SUM(E4:N4)</f>
        <v>666750.71335437335</v>
      </c>
    </row>
    <row r="5" spans="1:16" ht="15" thickBot="1">
      <c r="A5" s="4" t="s">
        <v>244</v>
      </c>
      <c r="C5" s="54">
        <f>'5. Financials - drinking water'!C5+'6. Financials - wastewater'!C5+'7. Financials - stormwater'!C5</f>
        <v>623.30226000000005</v>
      </c>
      <c r="E5" s="54">
        <f>'5. Financials - drinking water'!E5+'6. Financials - wastewater'!E5+'7. Financials - stormwater'!E5</f>
        <v>1911.2</v>
      </c>
      <c r="F5" s="54">
        <f>'5. Financials - drinking water'!F5+'6. Financials - wastewater'!F5+'7. Financials - stormwater'!F5</f>
        <v>1082.83125</v>
      </c>
      <c r="G5" s="54">
        <f>'5. Financials - drinking water'!G5+'6. Financials - wastewater'!G5+'7. Financials - stormwater'!G5</f>
        <v>0</v>
      </c>
      <c r="H5" s="54">
        <f>'5. Financials - drinking water'!H5+'6. Financials - wastewater'!H5+'7. Financials - stormwater'!H5</f>
        <v>0</v>
      </c>
      <c r="I5" s="54">
        <f>'5. Financials - drinking water'!I5+'6. Financials - wastewater'!I5+'7. Financials - stormwater'!I5</f>
        <v>0</v>
      </c>
      <c r="J5" s="54">
        <f>'5. Financials - drinking water'!J5+'6. Financials - wastewater'!J5+'7. Financials - stormwater'!J5</f>
        <v>0</v>
      </c>
      <c r="K5" s="54">
        <f>'5. Financials - drinking water'!K5+'6. Financials - wastewater'!K5+'7. Financials - stormwater'!K5</f>
        <v>0</v>
      </c>
      <c r="L5" s="54">
        <f>'5. Financials - drinking water'!L5+'6. Financials - wastewater'!L5+'7. Financials - stormwater'!L5</f>
        <v>0</v>
      </c>
      <c r="M5" s="54">
        <f>'5. Financials - drinking water'!M5+'6. Financials - wastewater'!M5+'7. Financials - stormwater'!M5</f>
        <v>0</v>
      </c>
      <c r="N5" s="54">
        <f>'5. Financials - drinking water'!N5+'6. Financials - wastewater'!N5+'7. Financials - stormwater'!N5</f>
        <v>0</v>
      </c>
      <c r="P5" s="84">
        <f>SUM(E5:N5)</f>
        <v>2994.03125</v>
      </c>
    </row>
    <row r="6" spans="1:16" ht="15" thickBot="1">
      <c r="A6" s="4" t="s">
        <v>245</v>
      </c>
      <c r="C6" s="54">
        <f>'5. Financials - drinking water'!C6+'6. Financials - wastewater'!C6+'7. Financials - stormwater'!C6</f>
        <v>679.52440720000004</v>
      </c>
      <c r="E6" s="54">
        <f>'5. Financials - drinking water'!E6+'6. Financials - wastewater'!E6+'7. Financials - stormwater'!E6</f>
        <v>147.1</v>
      </c>
      <c r="F6" s="54">
        <f>'5. Financials - drinking water'!F6+'6. Financials - wastewater'!F6+'7. Financials - stormwater'!F6</f>
        <v>271.83024999999998</v>
      </c>
      <c r="G6" s="54">
        <f>'5. Financials - drinking water'!G6+'6. Financials - wastewater'!G6+'7. Financials - stormwater'!G6</f>
        <v>151.66</v>
      </c>
      <c r="H6" s="54">
        <f>'5. Financials - drinking water'!H6+'6. Financials - wastewater'!H6+'7. Financials - stormwater'!H6</f>
        <v>154.40899999999999</v>
      </c>
      <c r="I6" s="54">
        <f>'5. Financials - drinking water'!I6+'6. Financials - wastewater'!I6+'7. Financials - stormwater'!I6</f>
        <v>158.01299999999998</v>
      </c>
      <c r="J6" s="54">
        <f>'5. Financials - drinking water'!J6+'6. Financials - wastewater'!J6+'7. Financials - stormwater'!J6</f>
        <v>161.613</v>
      </c>
      <c r="K6" s="54">
        <f>'5. Financials - drinking water'!K6+'6. Financials - wastewater'!K6+'7. Financials - stormwater'!K6</f>
        <v>165.06900000000002</v>
      </c>
      <c r="L6" s="54">
        <f>'5. Financials - drinking water'!L6+'6. Financials - wastewater'!L6+'7. Financials - stormwater'!L6</f>
        <v>168.52600000000001</v>
      </c>
      <c r="M6" s="54">
        <f>'5. Financials - drinking water'!M6+'6. Financials - wastewater'!M6+'7. Financials - stormwater'!M6</f>
        <v>171.977</v>
      </c>
      <c r="N6" s="54">
        <f>'5. Financials - drinking water'!N6+'6. Financials - wastewater'!N6+'7. Financials - stormwater'!N6</f>
        <v>184.90700000000001</v>
      </c>
      <c r="P6" s="84">
        <f>SUM(E6:N6)</f>
        <v>1735.1042500000001</v>
      </c>
    </row>
    <row r="7" spans="1:16" ht="15" thickBot="1">
      <c r="A7" s="4" t="s">
        <v>246</v>
      </c>
      <c r="C7" s="54">
        <f>'5. Financials - drinking water'!C7+'6. Financials - wastewater'!C7+'7. Financials - stormwater'!C7</f>
        <v>2011.5447899999999</v>
      </c>
      <c r="E7" s="54">
        <f>'5. Financials - drinking water'!E7+'6. Financials - wastewater'!E7+'7. Financials - stormwater'!E7</f>
        <v>2302.8240000000001</v>
      </c>
      <c r="F7" s="54">
        <f>'5. Financials - drinking water'!F7+'6. Financials - wastewater'!F7+'7. Financials - stormwater'!F7</f>
        <v>2047.3832</v>
      </c>
      <c r="G7" s="54">
        <f>'5. Financials - drinking water'!G7+'6. Financials - wastewater'!G7+'7. Financials - stormwater'!G7</f>
        <v>1937.6802</v>
      </c>
      <c r="H7" s="54">
        <f>'5. Financials - drinking water'!H7+'6. Financials - wastewater'!H7+'7. Financials - stormwater'!H7</f>
        <v>1988.40868</v>
      </c>
      <c r="I7" s="54">
        <f>'5. Financials - drinking water'!I7+'6. Financials - wastewater'!I7+'7. Financials - stormwater'!I7</f>
        <v>2039.0146400000001</v>
      </c>
      <c r="J7" s="54">
        <f>'5. Financials - drinking water'!J7+'6. Financials - wastewater'!J7+'7. Financials - stormwater'!J7</f>
        <v>2087.5011599999998</v>
      </c>
      <c r="K7" s="54">
        <f>'5. Financials - drinking water'!K7+'6. Financials - wastewater'!K7+'7. Financials - stormwater'!K7</f>
        <v>2136.1212799999998</v>
      </c>
      <c r="L7" s="54">
        <f>'5. Financials - drinking water'!L7+'6. Financials - wastewater'!L7+'7. Financials - stormwater'!L7</f>
        <v>2183.5730399999998</v>
      </c>
      <c r="M7" s="54">
        <f>'5. Financials - drinking water'!M7+'6. Financials - wastewater'!M7+'7. Financials - stormwater'!M7</f>
        <v>2231.1364800000001</v>
      </c>
      <c r="N7" s="54">
        <f>'5. Financials - drinking water'!N7+'6. Financials - wastewater'!N7+'7. Financials - stormwater'!N7</f>
        <v>2277.73668</v>
      </c>
      <c r="P7" s="84">
        <f>SUM(E7:N7)</f>
        <v>21231.379359999999</v>
      </c>
    </row>
    <row r="8" spans="1:16" ht="15" thickBot="1">
      <c r="A8" s="85" t="s">
        <v>247</v>
      </c>
      <c r="C8" s="10">
        <f>SUM(C3:C7)</f>
        <v>41466.438477633586</v>
      </c>
      <c r="E8" s="10">
        <f t="shared" ref="E8:N8" si="0">SUM(E3:E7)</f>
        <v>47928.156749999995</v>
      </c>
      <c r="F8" s="10">
        <f t="shared" si="0"/>
        <v>52387.65112000001</v>
      </c>
      <c r="G8" s="11">
        <f t="shared" si="0"/>
        <v>56352.80909000001</v>
      </c>
      <c r="H8" s="10">
        <f t="shared" si="0"/>
        <v>63213.148929853873</v>
      </c>
      <c r="I8" s="11">
        <f t="shared" si="0"/>
        <v>69351.621263869602</v>
      </c>
      <c r="J8" s="11">
        <f t="shared" si="0"/>
        <v>76375.630218467792</v>
      </c>
      <c r="K8" s="11">
        <f t="shared" si="0"/>
        <v>80902.82132226789</v>
      </c>
      <c r="L8" s="11">
        <f t="shared" si="0"/>
        <v>85039.727323749481</v>
      </c>
      <c r="M8" s="11">
        <f t="shared" si="0"/>
        <v>85191.402103784567</v>
      </c>
      <c r="N8" s="11">
        <f t="shared" si="0"/>
        <v>86447.820632380157</v>
      </c>
      <c r="P8" s="11">
        <f>SUM(P3:P7)</f>
        <v>703190.78875437332</v>
      </c>
    </row>
    <row r="9" spans="1:16" ht="5.25" customHeight="1" thickBot="1">
      <c r="A9" s="62"/>
      <c r="E9" s="86"/>
      <c r="F9" s="86"/>
      <c r="G9" s="86"/>
      <c r="H9" s="86"/>
      <c r="I9" s="86"/>
      <c r="J9" s="86"/>
      <c r="K9" s="86"/>
      <c r="L9" s="86"/>
      <c r="M9" s="86"/>
      <c r="N9" s="86"/>
    </row>
    <row r="10" spans="1:16" ht="15" thickBot="1">
      <c r="A10" s="43" t="s">
        <v>248</v>
      </c>
      <c r="C10" s="3"/>
      <c r="E10" s="3"/>
      <c r="F10" s="3"/>
      <c r="G10" s="3"/>
      <c r="H10" s="3"/>
      <c r="I10" s="3"/>
      <c r="J10" s="3"/>
      <c r="K10" s="3"/>
      <c r="L10" s="3"/>
      <c r="M10" s="3"/>
      <c r="N10" s="3"/>
      <c r="O10" s="83"/>
      <c r="P10" s="3"/>
    </row>
    <row r="11" spans="1:16" ht="15" thickBot="1">
      <c r="A11" s="4" t="s">
        <v>249</v>
      </c>
      <c r="C11" s="54">
        <f>'5. Financials - drinking water'!C11+'6. Financials - wastewater'!C11+'7. Financials - stormwater'!C11</f>
        <v>19231.986220000003</v>
      </c>
      <c r="E11" s="54">
        <f>'5. Financials - drinking water'!E11+'6. Financials - wastewater'!E11+'7. Financials - stormwater'!E11</f>
        <v>21693.254209999999</v>
      </c>
      <c r="F11" s="54">
        <f>'5. Financials - drinking water'!F11+'6. Financials - wastewater'!F11+'7. Financials - stormwater'!F11</f>
        <v>21844.73849</v>
      </c>
      <c r="G11" s="54">
        <f>'5. Financials - drinking water'!G11+'6. Financials - wastewater'!G11+'7. Financials - stormwater'!G11</f>
        <v>19934.253090000002</v>
      </c>
      <c r="H11" s="54">
        <f>'5. Financials - drinking water'!H11+'6. Financials - wastewater'!H11+'7. Financials - stormwater'!H11</f>
        <v>21532.948220000002</v>
      </c>
      <c r="I11" s="54">
        <f>'5. Financials - drinking water'!I11+'6. Financials - wastewater'!I11+'7. Financials - stormwater'!I11</f>
        <v>23467.831857499998</v>
      </c>
      <c r="J11" s="54">
        <f>'5. Financials - drinking water'!J11+'6. Financials - wastewater'!J11+'7. Financials - stormwater'!J11</f>
        <v>22854.215305390335</v>
      </c>
      <c r="K11" s="54">
        <f>'5. Financials - drinking water'!K11+'6. Financials - wastewater'!K11+'7. Financials - stormwater'!K11</f>
        <v>22414.465009380667</v>
      </c>
      <c r="L11" s="54">
        <f>'5. Financials - drinking water'!L11+'6. Financials - wastewater'!L11+'7. Financials - stormwater'!L11</f>
        <v>23342.294891068374</v>
      </c>
      <c r="M11" s="54">
        <f>'5. Financials - drinking water'!M11+'6. Financials - wastewater'!M11+'7. Financials - stormwater'!M11</f>
        <v>22802.282743977412</v>
      </c>
      <c r="N11" s="54">
        <f>'5. Financials - drinking water'!N11+'6. Financials - wastewater'!N11+'7. Financials - stormwater'!N11</f>
        <v>23838.814575340351</v>
      </c>
      <c r="P11" s="84">
        <f>SUM(E11:N11)</f>
        <v>223725.09839265712</v>
      </c>
    </row>
    <row r="12" spans="1:16" ht="15" thickBot="1">
      <c r="A12" s="4" t="s">
        <v>250</v>
      </c>
      <c r="C12" s="54">
        <f>'5. Financials - drinking water'!C12+'6. Financials - wastewater'!C12+'7. Financials - stormwater'!C12</f>
        <v>4555.5102799999995</v>
      </c>
      <c r="E12" s="54">
        <f>'5. Financials - drinking water'!E12+'6. Financials - wastewater'!E12+'7. Financials - stormwater'!E12</f>
        <v>5279.0720000000001</v>
      </c>
      <c r="F12" s="54">
        <f>'5. Financials - drinking water'!F12+'6. Financials - wastewater'!F12+'7. Financials - stormwater'!F12</f>
        <v>5785.9334499999995</v>
      </c>
      <c r="G12" s="54">
        <f>'5. Financials - drinking water'!G12+'6. Financials - wastewater'!G12+'7. Financials - stormwater'!G12</f>
        <v>7354.14473</v>
      </c>
      <c r="H12" s="54">
        <f>'5. Financials - drinking water'!H12+'6. Financials - wastewater'!H12+'7. Financials - stormwater'!H12</f>
        <v>14772.450307189385</v>
      </c>
      <c r="I12" s="54">
        <f>'5. Financials - drinking water'!I12+'6. Financials - wastewater'!I12+'7. Financials - stormwater'!I12</f>
        <v>17149.854703674042</v>
      </c>
      <c r="J12" s="54">
        <f>'5. Financials - drinking water'!J12+'6. Financials - wastewater'!J12+'7. Financials - stormwater'!J12</f>
        <v>18519.529070225672</v>
      </c>
      <c r="K12" s="54">
        <f>'5. Financials - drinking water'!K12+'6. Financials - wastewater'!K12+'7. Financials - stormwater'!K12</f>
        <v>19349.309245693512</v>
      </c>
      <c r="L12" s="54">
        <f>'5. Financials - drinking water'!L12+'6. Financials - wastewater'!L12+'7. Financials - stormwater'!L12</f>
        <v>19919.120350649002</v>
      </c>
      <c r="M12" s="54">
        <f>'5. Financials - drinking water'!M12+'6. Financials - wastewater'!M12+'7. Financials - stormwater'!M12</f>
        <v>20168.22794087834</v>
      </c>
      <c r="N12" s="54">
        <f>'5. Financials - drinking water'!N12+'6. Financials - wastewater'!N12+'7. Financials - stormwater'!N12</f>
        <v>20255.43223782313</v>
      </c>
      <c r="P12" s="84">
        <f>SUM(E12:N12)</f>
        <v>148553.07403613307</v>
      </c>
    </row>
    <row r="13" spans="1:16" ht="15" thickBot="1">
      <c r="A13" s="4" t="s">
        <v>251</v>
      </c>
      <c r="C13" s="54">
        <f>'5. Financials - drinking water'!C13+'6. Financials - wastewater'!C13+'7. Financials - stormwater'!C13</f>
        <v>5689.7012700000005</v>
      </c>
      <c r="E13" s="54">
        <f>'5. Financials - drinking water'!E13+'6. Financials - wastewater'!E13+'7. Financials - stormwater'!E13</f>
        <v>7104.8686299999999</v>
      </c>
      <c r="F13" s="54">
        <f>'5. Financials - drinking water'!F13+'6. Financials - wastewater'!F13+'7. Financials - stormwater'!F13</f>
        <v>7533.0510800000002</v>
      </c>
      <c r="G13" s="54">
        <f>'5. Financials - drinking water'!G13+'6. Financials - wastewater'!G13+'7. Financials - stormwater'!G13</f>
        <v>7649.9384899999995</v>
      </c>
      <c r="H13" s="54">
        <f>'5. Financials - drinking water'!H13+'6. Financials - wastewater'!H13+'7. Financials - stormwater'!H13</f>
        <v>7630.2328400000006</v>
      </c>
      <c r="I13" s="54">
        <f>'5. Financials - drinking water'!I13+'6. Financials - wastewater'!I13+'7. Financials - stormwater'!I13</f>
        <v>7839.4842799999997</v>
      </c>
      <c r="J13" s="54">
        <f>'5. Financials - drinking water'!J13+'6. Financials - wastewater'!J13+'7. Financials - stormwater'!J13</f>
        <v>8104.8766599999999</v>
      </c>
      <c r="K13" s="54">
        <f>'5. Financials - drinking water'!K13+'6. Financials - wastewater'!K13+'7. Financials - stormwater'!K13</f>
        <v>8206.7654399999992</v>
      </c>
      <c r="L13" s="54">
        <f>'5. Financials - drinking water'!L13+'6. Financials - wastewater'!L13+'7. Financials - stormwater'!L13</f>
        <v>8426.9550600000002</v>
      </c>
      <c r="M13" s="54">
        <f>'5. Financials - drinking water'!M13+'6. Financials - wastewater'!M13+'7. Financials - stormwater'!M13</f>
        <v>8642.002120000001</v>
      </c>
      <c r="N13" s="54">
        <f>'5. Financials - drinking water'!N13+'6. Financials - wastewater'!N13+'7. Financials - stormwater'!N13</f>
        <v>8765.8705200000004</v>
      </c>
      <c r="P13" s="84">
        <f>SUM(E13:N13)</f>
        <v>79904.045119999995</v>
      </c>
    </row>
    <row r="14" spans="1:16" ht="15" thickBot="1">
      <c r="A14" s="4" t="s">
        <v>252</v>
      </c>
      <c r="C14" s="54">
        <f>'5. Financials - drinking water'!C14+'6. Financials - wastewater'!C14+'7. Financials - stormwater'!C14</f>
        <v>37</v>
      </c>
      <c r="E14" s="54">
        <f>'5. Financials - drinking water'!E14+'6. Financials - wastewater'!E14+'7. Financials - stormwater'!E14</f>
        <v>0</v>
      </c>
      <c r="F14" s="54">
        <f>'5. Financials - drinking water'!F14+'6. Financials - wastewater'!F14+'7. Financials - stormwater'!F14</f>
        <v>0</v>
      </c>
      <c r="G14" s="54">
        <f>'5. Financials - drinking water'!G14+'6. Financials - wastewater'!G14+'7. Financials - stormwater'!G14</f>
        <v>0</v>
      </c>
      <c r="H14" s="54">
        <f>'5. Financials - drinking water'!H14+'6. Financials - wastewater'!H14+'7. Financials - stormwater'!H14</f>
        <v>0</v>
      </c>
      <c r="I14" s="54">
        <f>'5. Financials - drinking water'!I14+'6. Financials - wastewater'!I14+'7. Financials - stormwater'!I14</f>
        <v>0</v>
      </c>
      <c r="J14" s="54">
        <f>'5. Financials - drinking water'!J14+'6. Financials - wastewater'!J14+'7. Financials - stormwater'!J14</f>
        <v>0</v>
      </c>
      <c r="K14" s="54">
        <f>'5. Financials - drinking water'!K14+'6. Financials - wastewater'!K14+'7. Financials - stormwater'!K14</f>
        <v>0</v>
      </c>
      <c r="L14" s="54">
        <f>'5. Financials - drinking water'!L14+'6. Financials - wastewater'!L14+'7. Financials - stormwater'!L14</f>
        <v>0</v>
      </c>
      <c r="M14" s="54">
        <f>'5. Financials - drinking water'!M14+'6. Financials - wastewater'!M14+'7. Financials - stormwater'!M14</f>
        <v>0</v>
      </c>
      <c r="N14" s="54">
        <f>'5. Financials - drinking water'!N14+'6. Financials - wastewater'!N14+'7. Financials - stormwater'!N14</f>
        <v>0</v>
      </c>
      <c r="P14" s="84">
        <f>SUM(E14:N14)</f>
        <v>0</v>
      </c>
    </row>
    <row r="15" spans="1:16" ht="15" thickBot="1">
      <c r="A15" s="85" t="s">
        <v>253</v>
      </c>
      <c r="C15" s="10">
        <f>SUM(C11:C14)</f>
        <v>29514.197770000002</v>
      </c>
      <c r="E15" s="11">
        <f t="shared" ref="E15:N15" si="1">SUM(E11:E14)</f>
        <v>34077.194839999996</v>
      </c>
      <c r="F15" s="11">
        <f t="shared" si="1"/>
        <v>35163.723019999998</v>
      </c>
      <c r="G15" s="11">
        <f t="shared" si="1"/>
        <v>34938.336309999999</v>
      </c>
      <c r="H15" s="11">
        <f t="shared" si="1"/>
        <v>43935.631367189388</v>
      </c>
      <c r="I15" s="11">
        <f t="shared" si="1"/>
        <v>48457.170841174033</v>
      </c>
      <c r="J15" s="11">
        <f t="shared" si="1"/>
        <v>49478.621035616008</v>
      </c>
      <c r="K15" s="11">
        <f t="shared" si="1"/>
        <v>49970.539695074185</v>
      </c>
      <c r="L15" s="11">
        <f t="shared" si="1"/>
        <v>51688.370301717376</v>
      </c>
      <c r="M15" s="11">
        <f t="shared" si="1"/>
        <v>51612.512804855753</v>
      </c>
      <c r="N15" s="11">
        <f t="shared" si="1"/>
        <v>52860.117333163478</v>
      </c>
      <c r="P15" s="11">
        <f>SUM(P11:P14)</f>
        <v>452182.21754879015</v>
      </c>
    </row>
    <row r="16" spans="1:16" ht="5.25" customHeight="1" thickBot="1">
      <c r="A16" s="87"/>
    </row>
    <row r="17" spans="1:16" ht="15" thickBot="1">
      <c r="A17" s="85" t="s">
        <v>254</v>
      </c>
      <c r="C17" s="11">
        <f>C8-C15</f>
        <v>11952.240707633584</v>
      </c>
      <c r="E17" s="11">
        <f t="shared" ref="E17:N17" si="2">E8-E15</f>
        <v>13850.961909999998</v>
      </c>
      <c r="F17" s="11">
        <f t="shared" si="2"/>
        <v>17223.928100000012</v>
      </c>
      <c r="G17" s="11">
        <f t="shared" si="2"/>
        <v>21414.472780000011</v>
      </c>
      <c r="H17" s="11">
        <f t="shared" si="2"/>
        <v>19277.517562664485</v>
      </c>
      <c r="I17" s="11">
        <f t="shared" si="2"/>
        <v>20894.450422695569</v>
      </c>
      <c r="J17" s="11">
        <f t="shared" si="2"/>
        <v>26897.009182851783</v>
      </c>
      <c r="K17" s="11">
        <f t="shared" si="2"/>
        <v>30932.281627193704</v>
      </c>
      <c r="L17" s="11">
        <f t="shared" si="2"/>
        <v>33351.357022032105</v>
      </c>
      <c r="M17" s="11">
        <f t="shared" si="2"/>
        <v>33578.889298928814</v>
      </c>
      <c r="N17" s="11">
        <f t="shared" si="2"/>
        <v>33587.703299216679</v>
      </c>
      <c r="P17" s="11">
        <f>P8-P15</f>
        <v>251008.57120558317</v>
      </c>
    </row>
    <row r="18" spans="1:16" ht="5.25" customHeight="1" thickBot="1">
      <c r="A18" s="62"/>
    </row>
    <row r="19" spans="1:16" ht="15" thickBot="1">
      <c r="A19" s="43" t="s">
        <v>255</v>
      </c>
      <c r="C19" s="3"/>
      <c r="E19" s="3"/>
      <c r="F19" s="3"/>
      <c r="G19" s="3"/>
      <c r="H19" s="3"/>
      <c r="I19" s="3"/>
      <c r="J19" s="3"/>
      <c r="K19" s="3"/>
      <c r="L19" s="3"/>
      <c r="M19" s="3"/>
      <c r="N19" s="3"/>
      <c r="O19" s="83"/>
      <c r="P19" s="3"/>
    </row>
    <row r="20" spans="1:16" ht="15" thickBot="1">
      <c r="A20" s="4" t="s">
        <v>256</v>
      </c>
      <c r="C20" s="54">
        <f>'5. Financials - drinking water'!C20+'6. Financials - wastewater'!C20+'7. Financials - stormwater'!C20</f>
        <v>3098</v>
      </c>
      <c r="E20" s="54">
        <f>'5. Financials - drinking water'!E20+'6. Financials - wastewater'!E20+'7. Financials - stormwater'!E20</f>
        <v>1770</v>
      </c>
      <c r="F20" s="54">
        <f>'5. Financials - drinking water'!F20+'6. Financials - wastewater'!F20+'7. Financials - stormwater'!F20</f>
        <v>0</v>
      </c>
      <c r="G20" s="54">
        <f>'5. Financials - drinking water'!G20+'6. Financials - wastewater'!G20+'7. Financials - stormwater'!G20</f>
        <v>0</v>
      </c>
      <c r="H20" s="54">
        <f>'5. Financials - drinking water'!H20+'6. Financials - wastewater'!H20+'7. Financials - stormwater'!H20</f>
        <v>0</v>
      </c>
      <c r="I20" s="54">
        <f>'5. Financials - drinking water'!I20+'6. Financials - wastewater'!I20+'7. Financials - stormwater'!I20</f>
        <v>0</v>
      </c>
      <c r="J20" s="54">
        <f>'5. Financials - drinking water'!J20+'6. Financials - wastewater'!J20+'7. Financials - stormwater'!J20</f>
        <v>0</v>
      </c>
      <c r="K20" s="54">
        <f>'5. Financials - drinking water'!K20+'6. Financials - wastewater'!K20+'7. Financials - stormwater'!K20</f>
        <v>0</v>
      </c>
      <c r="L20" s="54">
        <f>'5. Financials - drinking water'!L20+'6. Financials - wastewater'!L20+'7. Financials - stormwater'!L20</f>
        <v>0</v>
      </c>
      <c r="M20" s="54">
        <f>'5. Financials - drinking water'!M20+'6. Financials - wastewater'!M20+'7. Financials - stormwater'!M20</f>
        <v>0</v>
      </c>
      <c r="N20" s="54">
        <f>'5. Financials - drinking water'!N20+'6. Financials - wastewater'!N20+'7. Financials - stormwater'!N20</f>
        <v>0</v>
      </c>
      <c r="P20" s="84">
        <f>SUM(E20:N20)</f>
        <v>1770</v>
      </c>
    </row>
    <row r="21" spans="1:16" ht="15" thickBot="1">
      <c r="A21" s="4" t="s">
        <v>257</v>
      </c>
      <c r="C21" s="54">
        <f>'5. Financials - drinking water'!C21+'6. Financials - wastewater'!C21+'7. Financials - stormwater'!C21</f>
        <v>1243.2162699999999</v>
      </c>
      <c r="E21" s="54">
        <f>'5. Financials - drinking water'!E21+'6. Financials - wastewater'!E21+'7. Financials - stormwater'!E21</f>
        <v>834.8</v>
      </c>
      <c r="F21" s="54">
        <f>'5. Financials - drinking water'!F21+'6. Financials - wastewater'!F21+'7. Financials - stormwater'!F21</f>
        <v>824.90899999999999</v>
      </c>
      <c r="G21" s="54">
        <f>'5. Financials - drinking water'!G21+'6. Financials - wastewater'!G21+'7. Financials - stormwater'!G21</f>
        <v>829.90899999999999</v>
      </c>
      <c r="H21" s="54">
        <f>'5. Financials - drinking water'!H21+'6. Financials - wastewater'!H21+'7. Financials - stormwater'!H21</f>
        <v>833.90899999999999</v>
      </c>
      <c r="I21" s="54">
        <f>'5. Financials - drinking water'!I21+'6. Financials - wastewater'!I21+'7. Financials - stormwater'!I21</f>
        <v>836.90899999999999</v>
      </c>
      <c r="J21" s="54">
        <f>'5. Financials - drinking water'!J21+'6. Financials - wastewater'!J21+'7. Financials - stormwater'!J21</f>
        <v>837.90899999999999</v>
      </c>
      <c r="K21" s="54">
        <f>'5. Financials - drinking water'!K21+'6. Financials - wastewater'!K21+'7. Financials - stormwater'!K21</f>
        <v>839.90899999999999</v>
      </c>
      <c r="L21" s="54">
        <f>'5. Financials - drinking water'!L21+'6. Financials - wastewater'!L21+'7. Financials - stormwater'!L21</f>
        <v>841.90899999999999</v>
      </c>
      <c r="M21" s="54">
        <f>'5. Financials - drinking water'!M21+'6. Financials - wastewater'!M21+'7. Financials - stormwater'!M21</f>
        <v>843.90899999999999</v>
      </c>
      <c r="N21" s="54">
        <f>'5. Financials - drinking water'!N21+'6. Financials - wastewater'!N21+'7. Financials - stormwater'!N21</f>
        <v>845.90899999999999</v>
      </c>
      <c r="P21" s="84">
        <f>SUM(E21:N21)</f>
        <v>8369.9809999999979</v>
      </c>
    </row>
    <row r="22" spans="1:16" ht="15" thickBot="1">
      <c r="A22" s="4" t="s">
        <v>258</v>
      </c>
      <c r="C22" s="54">
        <f>'5. Financials - drinking water'!C22+'6. Financials - wastewater'!C22+'7. Financials - stormwater'!C22</f>
        <v>7827.32</v>
      </c>
      <c r="E22" s="54">
        <f>'5. Financials - drinking water'!E22+'6. Financials - wastewater'!E22+'7. Financials - stormwater'!E22</f>
        <v>19518.327739999997</v>
      </c>
      <c r="F22" s="54">
        <f>'5. Financials - drinking water'!F22+'6. Financials - wastewater'!F22+'7. Financials - stormwater'!F22</f>
        <v>24864.33786</v>
      </c>
      <c r="G22" s="54">
        <f>'5. Financials - drinking water'!G22+'6. Financials - wastewater'!G22+'7. Financials - stormwater'!G22</f>
        <v>29792.340769999999</v>
      </c>
      <c r="H22" s="54">
        <f>'5. Financials - drinking water'!H22+'6. Financials - wastewater'!H22+'7. Financials - stormwater'!H22</f>
        <v>36378.159076835516</v>
      </c>
      <c r="I22" s="54">
        <f>'5. Financials - drinking water'!I22+'6. Financials - wastewater'!I22+'7. Financials - stormwater'!I22</f>
        <v>30358.461515804447</v>
      </c>
      <c r="J22" s="54">
        <f>'5. Financials - drinking water'!J22+'6. Financials - wastewater'!J22+'7. Financials - stormwater'!J22</f>
        <v>13372.157459134893</v>
      </c>
      <c r="K22" s="54">
        <f>'5. Financials - drinking water'!K22+'6. Financials - wastewater'!K22+'7. Financials - stormwater'!K22</f>
        <v>10180.778578594316</v>
      </c>
      <c r="L22" s="54">
        <f>'5. Financials - drinking water'!L22+'6. Financials - wastewater'!L22+'7. Financials - stormwater'!L22</f>
        <v>9618.4453548775455</v>
      </c>
      <c r="M22" s="54">
        <f>'5. Financials - drinking water'!M22+'6. Financials - wastewater'!M22+'7. Financials - stormwater'!M22</f>
        <v>4151.4601163296575</v>
      </c>
      <c r="N22" s="54">
        <f>'5. Financials - drinking water'!N22+'6. Financials - wastewater'!N22+'7. Financials - stormwater'!N22</f>
        <v>6851.8566287748172</v>
      </c>
      <c r="P22" s="84">
        <f>SUM(E22:N22)</f>
        <v>185086.32510035121</v>
      </c>
    </row>
    <row r="23" spans="1:16" ht="15" thickBot="1">
      <c r="A23" s="4" t="s">
        <v>259</v>
      </c>
      <c r="C23" s="54">
        <f>'5. Financials - drinking water'!C23+'6. Financials - wastewater'!C23+'7. Financials - stormwater'!C23</f>
        <v>0</v>
      </c>
      <c r="E23" s="54">
        <f>'5. Financials - drinking water'!E23+'6. Financials - wastewater'!E23+'7. Financials - stormwater'!E23</f>
        <v>0</v>
      </c>
      <c r="F23" s="54">
        <f>'5. Financials - drinking water'!F23+'6. Financials - wastewater'!F23+'7. Financials - stormwater'!F23</f>
        <v>0</v>
      </c>
      <c r="G23" s="54">
        <f>'5. Financials - drinking water'!G23+'6. Financials - wastewater'!G23+'7. Financials - stormwater'!G23</f>
        <v>0</v>
      </c>
      <c r="H23" s="54">
        <f>'5. Financials - drinking water'!H23+'6. Financials - wastewater'!H23+'7. Financials - stormwater'!H23</f>
        <v>0</v>
      </c>
      <c r="I23" s="54">
        <f>'5. Financials - drinking water'!I23+'6. Financials - wastewater'!I23+'7. Financials - stormwater'!I23</f>
        <v>0</v>
      </c>
      <c r="J23" s="54">
        <f>'5. Financials - drinking water'!J23+'6. Financials - wastewater'!J23+'7. Financials - stormwater'!J23</f>
        <v>0</v>
      </c>
      <c r="K23" s="54">
        <f>'5. Financials - drinking water'!K23+'6. Financials - wastewater'!K23+'7. Financials - stormwater'!K23</f>
        <v>0</v>
      </c>
      <c r="L23" s="54">
        <f>'5. Financials - drinking water'!L23+'6. Financials - wastewater'!L23+'7. Financials - stormwater'!L23</f>
        <v>0</v>
      </c>
      <c r="M23" s="54">
        <f>'5. Financials - drinking water'!M23+'6. Financials - wastewater'!M23+'7. Financials - stormwater'!M23</f>
        <v>0</v>
      </c>
      <c r="N23" s="54">
        <f>'5. Financials - drinking water'!N23+'6. Financials - wastewater'!N23+'7. Financials - stormwater'!N23</f>
        <v>0</v>
      </c>
      <c r="P23" s="84">
        <f>SUM(E23:N23)</f>
        <v>0</v>
      </c>
    </row>
    <row r="24" spans="1:16" ht="15" thickBot="1">
      <c r="A24" s="4" t="s">
        <v>260</v>
      </c>
      <c r="C24" s="54">
        <f>'5. Financials - drinking water'!C24+'6. Financials - wastewater'!C24+'7. Financials - stormwater'!C24</f>
        <v>0</v>
      </c>
      <c r="E24" s="54">
        <f>'5. Financials - drinking water'!E24+'6. Financials - wastewater'!E24+'7. Financials - stormwater'!E24</f>
        <v>0</v>
      </c>
      <c r="F24" s="54">
        <f>'5. Financials - drinking water'!F24+'6. Financials - wastewater'!F24+'7. Financials - stormwater'!F24</f>
        <v>0</v>
      </c>
      <c r="G24" s="54">
        <f>'5. Financials - drinking water'!G24+'6. Financials - wastewater'!G24+'7. Financials - stormwater'!G24</f>
        <v>0</v>
      </c>
      <c r="H24" s="54">
        <f>'5. Financials - drinking water'!H24+'6. Financials - wastewater'!H24+'7. Financials - stormwater'!H24</f>
        <v>0</v>
      </c>
      <c r="I24" s="54">
        <f>'5. Financials - drinking water'!I24+'6. Financials - wastewater'!I24+'7. Financials - stormwater'!I24</f>
        <v>0</v>
      </c>
      <c r="J24" s="54">
        <f>'5. Financials - drinking water'!J24+'6. Financials - wastewater'!J24+'7. Financials - stormwater'!J24</f>
        <v>0</v>
      </c>
      <c r="K24" s="54">
        <f>'5. Financials - drinking water'!K24+'6. Financials - wastewater'!K24+'7. Financials - stormwater'!K24</f>
        <v>0</v>
      </c>
      <c r="L24" s="54">
        <f>'5. Financials - drinking water'!L24+'6. Financials - wastewater'!L24+'7. Financials - stormwater'!L24</f>
        <v>0</v>
      </c>
      <c r="M24" s="54">
        <f>'5. Financials - drinking water'!M24+'6. Financials - wastewater'!M24+'7. Financials - stormwater'!M24</f>
        <v>0</v>
      </c>
      <c r="N24" s="54">
        <f>'5. Financials - drinking water'!N24+'6. Financials - wastewater'!N24+'7. Financials - stormwater'!N24</f>
        <v>0</v>
      </c>
      <c r="P24" s="84">
        <f>SUM(E24:N24)</f>
        <v>0</v>
      </c>
    </row>
    <row r="25" spans="1:16" ht="15" thickBot="1">
      <c r="A25" s="85" t="s">
        <v>261</v>
      </c>
      <c r="C25" s="11">
        <f>SUM(C20:C24)</f>
        <v>12168.536270000001</v>
      </c>
      <c r="E25" s="10">
        <f t="shared" ref="E25:N25" si="3">SUM(E20:E24)</f>
        <v>22123.127739999996</v>
      </c>
      <c r="F25" s="11">
        <f t="shared" si="3"/>
        <v>25689.246859999999</v>
      </c>
      <c r="G25" s="11">
        <f t="shared" si="3"/>
        <v>30622.249769999999</v>
      </c>
      <c r="H25" s="11">
        <f t="shared" si="3"/>
        <v>37212.068076835516</v>
      </c>
      <c r="I25" s="11">
        <f t="shared" si="3"/>
        <v>31195.370515804447</v>
      </c>
      <c r="J25" s="11">
        <f t="shared" si="3"/>
        <v>14210.066459134892</v>
      </c>
      <c r="K25" s="11">
        <f t="shared" si="3"/>
        <v>11020.687578594316</v>
      </c>
      <c r="L25" s="11">
        <f t="shared" si="3"/>
        <v>10460.354354877545</v>
      </c>
      <c r="M25" s="11">
        <f t="shared" si="3"/>
        <v>4995.3691163296571</v>
      </c>
      <c r="N25" s="11">
        <f t="shared" si="3"/>
        <v>7697.7656287748168</v>
      </c>
      <c r="P25" s="11">
        <f>SUM(P20:P24)</f>
        <v>195226.30610035121</v>
      </c>
    </row>
    <row r="26" spans="1:16" ht="5.25" customHeight="1" thickBot="1">
      <c r="A26" s="62"/>
    </row>
    <row r="27" spans="1:16" ht="15" thickBot="1">
      <c r="A27" s="43" t="s">
        <v>262</v>
      </c>
      <c r="C27" s="3"/>
      <c r="E27" s="3"/>
      <c r="F27" s="3"/>
      <c r="G27" s="3"/>
      <c r="H27" s="3"/>
      <c r="I27" s="3"/>
      <c r="J27" s="3"/>
      <c r="K27" s="3"/>
      <c r="L27" s="3"/>
      <c r="M27" s="3"/>
      <c r="N27" s="3"/>
      <c r="O27" s="83"/>
      <c r="P27" s="3"/>
    </row>
    <row r="28" spans="1:16" ht="15" thickBot="1">
      <c r="A28" s="4" t="s">
        <v>212</v>
      </c>
      <c r="C28" s="54">
        <f>'5. Financials - drinking water'!C28+'6. Financials - wastewater'!C28+'7. Financials - stormwater'!C28</f>
        <v>5036.5237200000001</v>
      </c>
      <c r="E28" s="54">
        <f>'5. Financials - drinking water'!E28+'6. Financials - wastewater'!E28+'7. Financials - stormwater'!E28</f>
        <v>1069.5910200000001</v>
      </c>
      <c r="F28" s="54">
        <f>'5. Financials - drinking water'!F28+'6. Financials - wastewater'!F28+'7. Financials - stormwater'!F28</f>
        <v>6622.07431</v>
      </c>
      <c r="G28" s="54">
        <f>'5. Financials - drinking water'!G28+'6. Financials - wastewater'!G28+'7. Financials - stormwater'!G28</f>
        <v>4341.01613</v>
      </c>
      <c r="H28" s="54">
        <f>'5. Financials - drinking water'!H28+'6. Financials - wastewater'!H28+'7. Financials - stormwater'!H28</f>
        <v>7801.5502500000002</v>
      </c>
      <c r="I28" s="54">
        <f>'5. Financials - drinking water'!I28+'6. Financials - wastewater'!I28+'7. Financials - stormwater'!I28</f>
        <v>4485.3658100000002</v>
      </c>
      <c r="J28" s="54">
        <f>'5. Financials - drinking water'!J28+'6. Financials - wastewater'!J28+'7. Financials - stormwater'!J28</f>
        <v>4487.5400993696558</v>
      </c>
      <c r="K28" s="54">
        <f>'5. Financials - drinking water'!K28+'6. Financials - wastewater'!K28+'7. Financials - stormwater'!K28</f>
        <v>1254.7016143431515</v>
      </c>
      <c r="L28" s="54">
        <f>'5. Financials - drinking water'!L28+'6. Financials - wastewater'!L28+'7. Financials - stormwater'!L28</f>
        <v>1992.5059395801461</v>
      </c>
      <c r="M28" s="54">
        <f>'5. Financials - drinking water'!M28+'6. Financials - wastewater'!M28+'7. Financials - stormwater'!M28</f>
        <v>344.25895320666206</v>
      </c>
      <c r="N28" s="54">
        <f>'5. Financials - drinking water'!N28+'6. Financials - wastewater'!N28+'7. Financials - stormwater'!N28</f>
        <v>350.5350179197784</v>
      </c>
      <c r="P28" s="84">
        <f>SUM(E28:N28)</f>
        <v>32749.139144419394</v>
      </c>
    </row>
    <row r="29" spans="1:16" ht="15" thickBot="1">
      <c r="A29" s="4" t="s">
        <v>213</v>
      </c>
      <c r="C29" s="54">
        <f>'5. Financials - drinking water'!C29+'6. Financials - wastewater'!C29+'7. Financials - stormwater'!C29</f>
        <v>13151.185710000002</v>
      </c>
      <c r="E29" s="54">
        <f>'5. Financials - drinking water'!E29+'6. Financials - wastewater'!E29+'7. Financials - stormwater'!E29</f>
        <v>11421.328</v>
      </c>
      <c r="F29" s="54">
        <f>'5. Financials - drinking water'!F29+'6. Financials - wastewater'!F29+'7. Financials - stormwater'!F29</f>
        <v>15879.721600000001</v>
      </c>
      <c r="G29" s="54">
        <f>'5. Financials - drinking water'!G29+'6. Financials - wastewater'!G29+'7. Financials - stormwater'!G29</f>
        <v>25977.467349999999</v>
      </c>
      <c r="H29" s="54">
        <f>'5. Financials - drinking water'!H29+'6. Financials - wastewater'!H29+'7. Financials - stormwater'!H29</f>
        <v>25395.1710595</v>
      </c>
      <c r="I29" s="54">
        <f>'5. Financials - drinking water'!I29+'6. Financials - wastewater'!I29+'7. Financials - stormwater'!I29</f>
        <v>26830.686858499997</v>
      </c>
      <c r="J29" s="54">
        <f>'5. Financials - drinking water'!J29+'6. Financials - wastewater'!J29+'7. Financials - stormwater'!J29</f>
        <v>12016.239178871061</v>
      </c>
      <c r="K29" s="54">
        <f>'5. Financials - drinking water'!K29+'6. Financials - wastewater'!K29+'7. Financials - stormwater'!K29</f>
        <v>13071.421910257297</v>
      </c>
      <c r="L29" s="54">
        <f>'5. Financials - drinking water'!L29+'6. Financials - wastewater'!L29+'7. Financials - stormwater'!L29</f>
        <v>13586.723639764741</v>
      </c>
      <c r="M29" s="54">
        <f>'5. Financials - drinking water'!M29+'6. Financials - wastewater'!M29+'7. Financials - stormwater'!M29</f>
        <v>7753.6204922582856</v>
      </c>
      <c r="N29" s="54">
        <f>'5. Financials - drinking water'!N29+'6. Financials - wastewater'!N29+'7. Financials - stormwater'!N29</f>
        <v>9519.0601816356902</v>
      </c>
      <c r="P29" s="84">
        <f>SUM(E29:N29)</f>
        <v>161451.44027078708</v>
      </c>
    </row>
    <row r="30" spans="1:16" ht="15" thickBot="1">
      <c r="A30" s="4" t="s">
        <v>214</v>
      </c>
      <c r="C30" s="54">
        <f>'5. Financials - drinking water'!C30+'6. Financials - wastewater'!C30+'7. Financials - stormwater'!C30</f>
        <v>18122.857540000001</v>
      </c>
      <c r="E30" s="54">
        <f>'5. Financials - drinking water'!E30+'6. Financials - wastewater'!E30+'7. Financials - stormwater'!E30</f>
        <v>29033.455389999999</v>
      </c>
      <c r="F30" s="54">
        <f>'5. Financials - drinking water'!F30+'6. Financials - wastewater'!F30+'7. Financials - stormwater'!F30</f>
        <v>30721.534209999998</v>
      </c>
      <c r="G30" s="54">
        <f>'5. Financials - drinking water'!G30+'6. Financials - wastewater'!G30+'7. Financials - stormwater'!G30</f>
        <v>27123.644809999998</v>
      </c>
      <c r="H30" s="54">
        <f>'5. Financials - drinking water'!H30+'6. Financials - wastewater'!H30+'7. Financials - stormwater'!H30</f>
        <v>30566.774940000003</v>
      </c>
      <c r="I30" s="54">
        <f>'5. Financials - drinking water'!I30+'6. Financials - wastewater'!I30+'7. Financials - stormwater'!I30</f>
        <v>21734.189009999998</v>
      </c>
      <c r="J30" s="54">
        <f>'5. Financials - drinking water'!J30+'6. Financials - wastewater'!J30+'7. Financials - stormwater'!J30</f>
        <v>25574.709673745951</v>
      </c>
      <c r="K30" s="54">
        <f>'5. Financials - drinking water'!K30+'6. Financials - wastewater'!K30+'7. Financials - stormwater'!K30</f>
        <v>30246.77150118757</v>
      </c>
      <c r="L30" s="54">
        <f>'5. Financials - drinking water'!L30+'6. Financials - wastewater'!L30+'7. Financials - stormwater'!L30</f>
        <v>24077.780577564747</v>
      </c>
      <c r="M30" s="54">
        <f>'5. Financials - drinking water'!M30+'6. Financials - wastewater'!M30+'7. Financials - stormwater'!M30</f>
        <v>28610.227769793528</v>
      </c>
      <c r="N30" s="54">
        <f>'5. Financials - drinking water'!N30+'6. Financials - wastewater'!N30+'7. Financials - stormwater'!N30</f>
        <v>24662.112988436023</v>
      </c>
      <c r="P30" s="84">
        <f>SUM(E30:N30)</f>
        <v>272351.20087072789</v>
      </c>
    </row>
    <row r="31" spans="1:16" ht="15" thickBot="1">
      <c r="A31" s="4" t="s">
        <v>263</v>
      </c>
      <c r="C31" s="54">
        <f>'5. Financials - drinking water'!C31+'6. Financials - wastewater'!C31+'7. Financials - stormwater'!C31</f>
        <v>-9865.7899923664099</v>
      </c>
      <c r="E31" s="54">
        <f>'5. Financials - drinking water'!E31+'6. Financials - wastewater'!E31+'7. Financials - stormwater'!E31</f>
        <v>-5550.1420100000005</v>
      </c>
      <c r="F31" s="54">
        <f>'5. Financials - drinking water'!F31+'6. Financials - wastewater'!F31+'7. Financials - stormwater'!F31</f>
        <v>-10309.971570000002</v>
      </c>
      <c r="G31" s="54">
        <f>'5. Financials - drinking water'!G31+'6. Financials - wastewater'!G31+'7. Financials - stormwater'!G31</f>
        <v>-5405.88112</v>
      </c>
      <c r="H31" s="54">
        <f>'5. Financials - drinking water'!H31+'6. Financials - wastewater'!H31+'7. Financials - stormwater'!H31</f>
        <v>-12273.8379</v>
      </c>
      <c r="I31" s="54">
        <f>'5. Financials - drinking water'!I31+'6. Financials - wastewater'!I31+'7. Financials - stormwater'!I31</f>
        <v>-960.53601000000026</v>
      </c>
      <c r="J31" s="54">
        <f>'5. Financials - drinking water'!J31+'6. Financials - wastewater'!J31+'7. Financials - stormwater'!J31</f>
        <v>-971.41355999999962</v>
      </c>
      <c r="K31" s="54">
        <f>'5. Financials - drinking water'!K31+'6. Financials - wastewater'!K31+'7. Financials - stormwater'!K31</f>
        <v>-2619.9261099999999</v>
      </c>
      <c r="L31" s="54">
        <f>'5. Financials - drinking water'!L31+'6. Financials - wastewater'!L31+'7. Financials - stormwater'!L31</f>
        <v>4154.7009899999994</v>
      </c>
      <c r="M31" s="54">
        <f>'5. Financials - drinking water'!M31+'6. Financials - wastewater'!M31+'7. Financials - stormwater'!M31</f>
        <v>1866.1509599999995</v>
      </c>
      <c r="N31" s="54">
        <f>'5. Financials - drinking water'!N31+'6. Financials - wastewater'!N31+'7. Financials - stormwater'!N31</f>
        <v>6753.7604100000008</v>
      </c>
      <c r="P31" s="84">
        <f>SUM(E31:N31)</f>
        <v>-25317.095920000007</v>
      </c>
    </row>
    <row r="32" spans="1:16" ht="15" thickBot="1">
      <c r="A32" s="4" t="s">
        <v>264</v>
      </c>
      <c r="C32" s="54">
        <f>'5. Financials - drinking water'!C32+'6. Financials - wastewater'!C32+'7. Financials - stormwater'!C32</f>
        <v>155</v>
      </c>
      <c r="E32" s="54">
        <f>'5. Financials - drinking water'!E32+'6. Financials - wastewater'!E32+'7. Financials - stormwater'!E32</f>
        <v>0</v>
      </c>
      <c r="F32" s="54">
        <f>'5. Financials - drinking water'!F32+'6. Financials - wastewater'!F32+'7. Financials - stormwater'!F32</f>
        <v>0</v>
      </c>
      <c r="G32" s="54">
        <f>'5. Financials - drinking water'!G32+'6. Financials - wastewater'!G32+'7. Financials - stormwater'!G32</f>
        <v>0</v>
      </c>
      <c r="H32" s="54">
        <f>'5. Financials - drinking water'!H32+'6. Financials - wastewater'!H32+'7. Financials - stormwater'!H32</f>
        <v>5000</v>
      </c>
      <c r="I32" s="54">
        <f>'5. Financials - drinking water'!I32+'6. Financials - wastewater'!I32+'7. Financials - stormwater'!I32</f>
        <v>0</v>
      </c>
      <c r="J32" s="54">
        <f>'5. Financials - drinking water'!J32+'6. Financials - wastewater'!J32+'7. Financials - stormwater'!J32</f>
        <v>0</v>
      </c>
      <c r="K32" s="54">
        <f>'5. Financials - drinking water'!K32+'6. Financials - wastewater'!K32+'7. Financials - stormwater'!K32</f>
        <v>0</v>
      </c>
      <c r="L32" s="54">
        <f>'5. Financials - drinking water'!L32+'6. Financials - wastewater'!L32+'7. Financials - stormwater'!L32</f>
        <v>0</v>
      </c>
      <c r="M32" s="54">
        <f>'5. Financials - drinking water'!M32+'6. Financials - wastewater'!M32+'7. Financials - stormwater'!M32</f>
        <v>0</v>
      </c>
      <c r="N32" s="54">
        <f>'5. Financials - drinking water'!N32+'6. Financials - wastewater'!N32+'7. Financials - stormwater'!N32</f>
        <v>0</v>
      </c>
      <c r="P32" s="84">
        <f>SUM(E32:N32)</f>
        <v>5000</v>
      </c>
    </row>
    <row r="33" spans="1:16" ht="15" thickBot="1">
      <c r="A33" s="85" t="s">
        <v>265</v>
      </c>
      <c r="C33" s="11">
        <f>SUM(C28:C32)</f>
        <v>26599.776977633592</v>
      </c>
      <c r="E33" s="11">
        <f t="shared" ref="E33:N33" si="4">SUM(E28:E32)</f>
        <v>35974.232399999994</v>
      </c>
      <c r="F33" s="11">
        <f t="shared" si="4"/>
        <v>42913.358549999997</v>
      </c>
      <c r="G33" s="11">
        <f t="shared" si="4"/>
        <v>52036.247169999995</v>
      </c>
      <c r="H33" s="11">
        <f t="shared" si="4"/>
        <v>56489.658349500009</v>
      </c>
      <c r="I33" s="10">
        <f t="shared" si="4"/>
        <v>52089.705668499992</v>
      </c>
      <c r="J33" s="11">
        <f t="shared" si="4"/>
        <v>41107.075391986669</v>
      </c>
      <c r="K33" s="11">
        <f t="shared" si="4"/>
        <v>41952.96891578802</v>
      </c>
      <c r="L33" s="11">
        <f t="shared" si="4"/>
        <v>43811.711146909627</v>
      </c>
      <c r="M33" s="11">
        <f t="shared" si="4"/>
        <v>38574.258175258474</v>
      </c>
      <c r="N33" s="11">
        <f t="shared" si="4"/>
        <v>41285.468597991494</v>
      </c>
      <c r="P33" s="11">
        <f>SUM(P28:P32)</f>
        <v>446234.68436593434</v>
      </c>
    </row>
    <row r="34" spans="1:16" ht="5.25" customHeight="1" thickBot="1">
      <c r="A34" s="87"/>
    </row>
    <row r="35" spans="1:16" ht="15" thickBot="1">
      <c r="A35" s="85" t="s">
        <v>266</v>
      </c>
      <c r="C35" s="11">
        <f>C25-C33</f>
        <v>-14431.240707633591</v>
      </c>
      <c r="E35" s="11">
        <f t="shared" ref="E35:N35" si="5">E25-E33</f>
        <v>-13851.104659999997</v>
      </c>
      <c r="F35" s="11">
        <f t="shared" si="5"/>
        <v>-17224.111689999998</v>
      </c>
      <c r="G35" s="11">
        <f t="shared" si="5"/>
        <v>-21413.997399999997</v>
      </c>
      <c r="H35" s="11">
        <f t="shared" si="5"/>
        <v>-19277.590272664493</v>
      </c>
      <c r="I35" s="10">
        <f t="shared" si="5"/>
        <v>-20894.335152695545</v>
      </c>
      <c r="J35" s="11">
        <f t="shared" si="5"/>
        <v>-26897.008932851779</v>
      </c>
      <c r="K35" s="11">
        <f t="shared" si="5"/>
        <v>-30932.281337193705</v>
      </c>
      <c r="L35" s="11">
        <f t="shared" si="5"/>
        <v>-33351.356792032078</v>
      </c>
      <c r="M35" s="11">
        <f t="shared" si="5"/>
        <v>-33578.88905892882</v>
      </c>
      <c r="N35" s="11">
        <f t="shared" si="5"/>
        <v>-33587.702969216676</v>
      </c>
      <c r="P35" s="11">
        <f>P25-P33</f>
        <v>-251008.37826558313</v>
      </c>
    </row>
    <row r="36" spans="1:16" ht="5.25" customHeight="1" thickBot="1">
      <c r="A36" s="88"/>
    </row>
    <row r="37" spans="1:16" ht="15" thickBot="1">
      <c r="A37" s="85" t="s">
        <v>267</v>
      </c>
      <c r="C37" s="11">
        <f>C17+C35</f>
        <v>-2479.0000000000073</v>
      </c>
      <c r="E37" s="11">
        <f t="shared" ref="E37:N37" si="6">E17+E35</f>
        <v>-0.14274999999906868</v>
      </c>
      <c r="F37" s="11">
        <f t="shared" si="6"/>
        <v>-0.18358999998599757</v>
      </c>
      <c r="G37" s="11">
        <f t="shared" si="6"/>
        <v>0.47538000001441105</v>
      </c>
      <c r="H37" s="11">
        <f t="shared" si="6"/>
        <v>-7.2710000007646158E-2</v>
      </c>
      <c r="I37" s="11">
        <f t="shared" si="6"/>
        <v>0.11527000002388377</v>
      </c>
      <c r="J37" s="11">
        <f t="shared" si="6"/>
        <v>2.5000000459840521E-4</v>
      </c>
      <c r="K37" s="11">
        <f t="shared" si="6"/>
        <v>2.8999999994994141E-4</v>
      </c>
      <c r="L37" s="11">
        <f t="shared" si="6"/>
        <v>2.3000002693152055E-4</v>
      </c>
      <c r="M37" s="11">
        <f t="shared" si="6"/>
        <v>2.3999999393709004E-4</v>
      </c>
      <c r="N37" s="11">
        <f t="shared" si="6"/>
        <v>3.3000000257743523E-4</v>
      </c>
      <c r="P37" s="11">
        <f>P17+P35</f>
        <v>0.19294000003719702</v>
      </c>
    </row>
    <row r="38" spans="1:16" ht="15" thickBot="1"/>
    <row r="39" spans="1:16" ht="15" thickBot="1">
      <c r="A39" s="81" t="s">
        <v>268</v>
      </c>
      <c r="B39" s="82"/>
      <c r="C39" s="82" t="s">
        <v>96</v>
      </c>
      <c r="D39" s="82"/>
      <c r="E39" s="82" t="s">
        <v>86</v>
      </c>
      <c r="F39" s="82" t="s">
        <v>87</v>
      </c>
      <c r="G39" s="82" t="s">
        <v>88</v>
      </c>
      <c r="H39" s="82" t="s">
        <v>89</v>
      </c>
      <c r="I39" s="82" t="s">
        <v>90</v>
      </c>
      <c r="J39" s="82" t="s">
        <v>91</v>
      </c>
      <c r="K39" s="82" t="s">
        <v>92</v>
      </c>
      <c r="L39" s="82" t="s">
        <v>93</v>
      </c>
      <c r="M39" s="82" t="s">
        <v>94</v>
      </c>
      <c r="N39" s="82" t="s">
        <v>95</v>
      </c>
      <c r="O39" s="83"/>
    </row>
    <row r="40" spans="1:16" ht="15" thickBot="1">
      <c r="A40" s="4" t="s">
        <v>193</v>
      </c>
      <c r="C40" s="54">
        <f>C$8</f>
        <v>41466.438477633586</v>
      </c>
      <c r="E40" s="54">
        <f t="shared" ref="E40:N40" si="7">E$8</f>
        <v>47928.156749999995</v>
      </c>
      <c r="F40" s="54">
        <f t="shared" si="7"/>
        <v>52387.65112000001</v>
      </c>
      <c r="G40" s="54">
        <f t="shared" si="7"/>
        <v>56352.80909000001</v>
      </c>
      <c r="H40" s="54">
        <f t="shared" si="7"/>
        <v>63213.148929853873</v>
      </c>
      <c r="I40" s="54">
        <f t="shared" si="7"/>
        <v>69351.621263869602</v>
      </c>
      <c r="J40" s="54">
        <f t="shared" si="7"/>
        <v>76375.630218467792</v>
      </c>
      <c r="K40" s="54">
        <f t="shared" si="7"/>
        <v>80902.82132226789</v>
      </c>
      <c r="L40" s="54">
        <f t="shared" si="7"/>
        <v>85039.727323749481</v>
      </c>
      <c r="M40" s="54">
        <f t="shared" si="7"/>
        <v>85191.402103784567</v>
      </c>
      <c r="N40" s="54">
        <f t="shared" si="7"/>
        <v>86447.820632380157</v>
      </c>
    </row>
    <row r="41" spans="1:16" ht="15" thickBot="1">
      <c r="A41" s="4" t="s">
        <v>269</v>
      </c>
      <c r="C41" s="54">
        <f>C$20+C$21+C$23+C$24</f>
        <v>4341.2162699999999</v>
      </c>
      <c r="E41" s="54">
        <f t="shared" ref="E41:N41" si="8">E$20+E$21+E$23+E$24</f>
        <v>2604.8000000000002</v>
      </c>
      <c r="F41" s="54">
        <f t="shared" si="8"/>
        <v>824.90899999999999</v>
      </c>
      <c r="G41" s="54">
        <f t="shared" si="8"/>
        <v>829.90899999999999</v>
      </c>
      <c r="H41" s="54">
        <f t="shared" si="8"/>
        <v>833.90899999999999</v>
      </c>
      <c r="I41" s="54">
        <f t="shared" si="8"/>
        <v>836.90899999999999</v>
      </c>
      <c r="J41" s="54">
        <f t="shared" si="8"/>
        <v>837.90899999999999</v>
      </c>
      <c r="K41" s="54">
        <f t="shared" si="8"/>
        <v>839.90899999999999</v>
      </c>
      <c r="L41" s="54">
        <f t="shared" si="8"/>
        <v>841.90899999999999</v>
      </c>
      <c r="M41" s="54">
        <f t="shared" si="8"/>
        <v>843.90899999999999</v>
      </c>
      <c r="N41" s="54">
        <f t="shared" si="8"/>
        <v>845.90899999999999</v>
      </c>
    </row>
    <row r="42" spans="1:16" ht="15" thickBot="1">
      <c r="A42" s="85" t="s">
        <v>270</v>
      </c>
      <c r="C42" s="10">
        <f>SUM(C40:C41)</f>
        <v>45807.654747633584</v>
      </c>
      <c r="E42" s="10">
        <f t="shared" ref="E42:N42" si="9">SUM(E40:E41)</f>
        <v>50532.956749999998</v>
      </c>
      <c r="F42" s="10">
        <f t="shared" si="9"/>
        <v>53212.560120000009</v>
      </c>
      <c r="G42" s="11">
        <f t="shared" si="9"/>
        <v>57182.718090000009</v>
      </c>
      <c r="H42" s="11">
        <f t="shared" si="9"/>
        <v>64047.057929853872</v>
      </c>
      <c r="I42" s="11">
        <f t="shared" si="9"/>
        <v>70188.530263869601</v>
      </c>
      <c r="J42" s="11">
        <f t="shared" si="9"/>
        <v>77213.539218467791</v>
      </c>
      <c r="K42" s="11">
        <f t="shared" si="9"/>
        <v>81742.730322267889</v>
      </c>
      <c r="L42" s="11">
        <f t="shared" si="9"/>
        <v>85881.636323749481</v>
      </c>
      <c r="M42" s="11">
        <f t="shared" si="9"/>
        <v>86035.311103784567</v>
      </c>
      <c r="N42" s="11">
        <f t="shared" si="9"/>
        <v>87293.729632380157</v>
      </c>
    </row>
    <row r="43" spans="1:16" ht="5.25" customHeight="1" thickBot="1">
      <c r="A43" s="4"/>
      <c r="C43" s="89"/>
      <c r="E43" s="89"/>
      <c r="F43" s="89"/>
      <c r="G43" s="89"/>
      <c r="H43" s="89"/>
      <c r="I43" s="89"/>
      <c r="J43" s="89"/>
      <c r="K43" s="89"/>
      <c r="L43" s="89"/>
      <c r="M43" s="89"/>
      <c r="N43" s="89"/>
    </row>
    <row r="44" spans="1:16" ht="15" thickBot="1">
      <c r="A44" s="4" t="s">
        <v>271</v>
      </c>
      <c r="C44" s="54">
        <f>C$11+C$14</f>
        <v>19268.986220000003</v>
      </c>
      <c r="E44" s="54">
        <f t="shared" ref="E44:N44" si="10">E$11+E$14</f>
        <v>21693.254209999999</v>
      </c>
      <c r="F44" s="54">
        <f t="shared" si="10"/>
        <v>21844.73849</v>
      </c>
      <c r="G44" s="54">
        <f t="shared" si="10"/>
        <v>19934.253090000002</v>
      </c>
      <c r="H44" s="54">
        <f t="shared" si="10"/>
        <v>21532.948220000002</v>
      </c>
      <c r="I44" s="54">
        <f t="shared" si="10"/>
        <v>23467.831857499998</v>
      </c>
      <c r="J44" s="54">
        <f t="shared" si="10"/>
        <v>22854.215305390335</v>
      </c>
      <c r="K44" s="54">
        <f t="shared" si="10"/>
        <v>22414.465009380667</v>
      </c>
      <c r="L44" s="54">
        <f t="shared" si="10"/>
        <v>23342.294891068374</v>
      </c>
      <c r="M44" s="54">
        <f t="shared" si="10"/>
        <v>22802.282743977412</v>
      </c>
      <c r="N44" s="54">
        <f t="shared" si="10"/>
        <v>23838.814575340351</v>
      </c>
    </row>
    <row r="45" spans="1:16" ht="15" thickBot="1">
      <c r="A45" s="4" t="s">
        <v>250</v>
      </c>
      <c r="C45" s="54">
        <f>C$12</f>
        <v>4555.5102799999995</v>
      </c>
      <c r="E45" s="54">
        <f t="shared" ref="E45:N45" si="11">E$12</f>
        <v>5279.0720000000001</v>
      </c>
      <c r="F45" s="54">
        <f t="shared" si="11"/>
        <v>5785.9334499999995</v>
      </c>
      <c r="G45" s="54">
        <f t="shared" si="11"/>
        <v>7354.14473</v>
      </c>
      <c r="H45" s="54">
        <f t="shared" si="11"/>
        <v>14772.450307189385</v>
      </c>
      <c r="I45" s="54">
        <f t="shared" si="11"/>
        <v>17149.854703674042</v>
      </c>
      <c r="J45" s="54">
        <f t="shared" si="11"/>
        <v>18519.529070225672</v>
      </c>
      <c r="K45" s="54">
        <f t="shared" si="11"/>
        <v>19349.309245693512</v>
      </c>
      <c r="L45" s="54">
        <f t="shared" si="11"/>
        <v>19919.120350649002</v>
      </c>
      <c r="M45" s="54">
        <f t="shared" si="11"/>
        <v>20168.22794087834</v>
      </c>
      <c r="N45" s="54">
        <f t="shared" si="11"/>
        <v>20255.43223782313</v>
      </c>
    </row>
    <row r="46" spans="1:16" ht="15" thickBot="1">
      <c r="A46" s="4" t="s">
        <v>272</v>
      </c>
      <c r="C46" s="54">
        <f>C$13</f>
        <v>5689.7012700000005</v>
      </c>
      <c r="E46" s="54">
        <f t="shared" ref="E46:N46" si="12">E$13</f>
        <v>7104.8686299999999</v>
      </c>
      <c r="F46" s="54">
        <f t="shared" si="12"/>
        <v>7533.0510800000002</v>
      </c>
      <c r="G46" s="54">
        <f t="shared" si="12"/>
        <v>7649.9384899999995</v>
      </c>
      <c r="H46" s="54">
        <f t="shared" si="12"/>
        <v>7630.2328400000006</v>
      </c>
      <c r="I46" s="54">
        <f t="shared" si="12"/>
        <v>7839.4842799999997</v>
      </c>
      <c r="J46" s="54">
        <f t="shared" si="12"/>
        <v>8104.8766599999999</v>
      </c>
      <c r="K46" s="54">
        <f t="shared" si="12"/>
        <v>8206.7654399999992</v>
      </c>
      <c r="L46" s="54">
        <f t="shared" si="12"/>
        <v>8426.9550600000002</v>
      </c>
      <c r="M46" s="54">
        <f t="shared" si="12"/>
        <v>8642.002120000001</v>
      </c>
      <c r="N46" s="54">
        <f t="shared" si="12"/>
        <v>8765.8705200000004</v>
      </c>
    </row>
    <row r="47" spans="1:16" ht="15" thickBot="1">
      <c r="A47" s="4" t="s">
        <v>273</v>
      </c>
      <c r="C47" s="54">
        <f>'5. Financials - drinking water'!C47+'6. Financials - wastewater'!C47+'7. Financials - stormwater'!C47</f>
        <v>0</v>
      </c>
      <c r="E47" s="54">
        <f>'5. Financials - drinking water'!E47+'6. Financials - wastewater'!E47+'7. Financials - stormwater'!E47</f>
        <v>16562.728029999998</v>
      </c>
      <c r="F47" s="54">
        <f>'5. Financials - drinking water'!F47+'6. Financials - wastewater'!F47+'7. Financials - stormwater'!F47</f>
        <v>17165.91257</v>
      </c>
      <c r="G47" s="54">
        <f>'5. Financials - drinking water'!G47+'6. Financials - wastewater'!G47+'7. Financials - stormwater'!G47</f>
        <v>19297.832599999998</v>
      </c>
      <c r="H47" s="54">
        <f>'5. Financials - drinking water'!H47+'6. Financials - wastewater'!H47+'7. Financials - stormwater'!H47</f>
        <v>20117.763959999997</v>
      </c>
      <c r="I47" s="54">
        <f>'5. Financials - drinking water'!I47+'6. Financials - wastewater'!I47+'7. Financials - stormwater'!I47</f>
        <v>21732.089459999999</v>
      </c>
      <c r="J47" s="54">
        <f>'5. Financials - drinking water'!J47+'6. Financials - wastewater'!J47+'7. Financials - stormwater'!J47</f>
        <v>23447.690239999996</v>
      </c>
      <c r="K47" s="54">
        <f>'5. Financials - drinking water'!K47+'6. Financials - wastewater'!K47+'7. Financials - stormwater'!K47</f>
        <v>24752.541606783605</v>
      </c>
      <c r="L47" s="54">
        <f>'5. Financials - drinking water'!L47+'6. Financials - wastewater'!L47+'7. Financials - stormwater'!L47</f>
        <v>25798.23893388885</v>
      </c>
      <c r="M47" s="54">
        <f>'5. Financials - drinking water'!M47+'6. Financials - wastewater'!M47+'7. Financials - stormwater'!M47</f>
        <v>27276.182436684921</v>
      </c>
      <c r="N47" s="54">
        <f>'5. Financials - drinking water'!N47+'6. Financials - wastewater'!N47+'7. Financials - stormwater'!N47</f>
        <v>27729.016932181665</v>
      </c>
    </row>
    <row r="48" spans="1:16" ht="15" thickBot="1">
      <c r="A48" s="85" t="s">
        <v>274</v>
      </c>
      <c r="C48" s="10">
        <f>SUM(C44:C47)</f>
        <v>29514.197770000002</v>
      </c>
      <c r="E48" s="10">
        <f t="shared" ref="E48:N48" si="13">SUM(E44:E47)</f>
        <v>50639.922869999995</v>
      </c>
      <c r="F48" s="11">
        <f t="shared" si="13"/>
        <v>52329.635589999998</v>
      </c>
      <c r="G48" s="11">
        <f t="shared" si="13"/>
        <v>54236.168909999993</v>
      </c>
      <c r="H48" s="11">
        <f t="shared" si="13"/>
        <v>64053.395327189384</v>
      </c>
      <c r="I48" s="11">
        <f t="shared" si="13"/>
        <v>70189.260301174028</v>
      </c>
      <c r="J48" s="11">
        <f t="shared" si="13"/>
        <v>72926.311275615997</v>
      </c>
      <c r="K48" s="11">
        <f t="shared" si="13"/>
        <v>74723.08130185779</v>
      </c>
      <c r="L48" s="11">
        <f t="shared" si="13"/>
        <v>77486.609235606229</v>
      </c>
      <c r="M48" s="11">
        <f t="shared" si="13"/>
        <v>78888.69524154067</v>
      </c>
      <c r="N48" s="11">
        <f t="shared" si="13"/>
        <v>80589.134265345143</v>
      </c>
    </row>
    <row r="49" spans="1:15" ht="5.25" customHeight="1" thickBot="1">
      <c r="A49" s="4"/>
      <c r="C49" s="54"/>
      <c r="E49" s="89"/>
      <c r="F49" s="89"/>
      <c r="G49" s="89"/>
      <c r="H49" s="89"/>
      <c r="I49" s="89"/>
      <c r="J49" s="89"/>
      <c r="K49" s="89"/>
      <c r="L49" s="89"/>
      <c r="M49" s="89"/>
      <c r="N49" s="89"/>
    </row>
    <row r="50" spans="1:15" ht="15" thickBot="1">
      <c r="A50" s="85" t="s">
        <v>275</v>
      </c>
      <c r="C50" s="10">
        <f>C42-C48</f>
        <v>16293.456977633581</v>
      </c>
      <c r="E50" s="10">
        <f t="shared" ref="E50:N50" si="14">E42-E48</f>
        <v>-106.96611999999732</v>
      </c>
      <c r="F50" s="10">
        <f t="shared" si="14"/>
        <v>882.92453000001115</v>
      </c>
      <c r="G50" s="10">
        <f t="shared" si="14"/>
        <v>2946.5491800000163</v>
      </c>
      <c r="H50" s="11">
        <f t="shared" si="14"/>
        <v>-6.3373973355119233</v>
      </c>
      <c r="I50" s="10">
        <f t="shared" si="14"/>
        <v>-0.73003730442724191</v>
      </c>
      <c r="J50" s="11">
        <f t="shared" si="14"/>
        <v>4287.2279428517941</v>
      </c>
      <c r="K50" s="11">
        <f t="shared" si="14"/>
        <v>7019.6490204100992</v>
      </c>
      <c r="L50" s="11">
        <f t="shared" si="14"/>
        <v>8395.0270881432516</v>
      </c>
      <c r="M50" s="11">
        <f t="shared" si="14"/>
        <v>7146.6158622438961</v>
      </c>
      <c r="N50" s="10">
        <f t="shared" si="14"/>
        <v>6704.5953670350136</v>
      </c>
    </row>
    <row r="51" spans="1:15" ht="5.25" customHeight="1" thickBot="1">
      <c r="A51" s="4"/>
      <c r="C51" s="54"/>
      <c r="E51" s="89"/>
      <c r="F51" s="89"/>
      <c r="G51" s="89"/>
      <c r="H51" s="89"/>
      <c r="I51" s="89"/>
      <c r="J51" s="89"/>
      <c r="K51" s="89"/>
      <c r="L51" s="89"/>
      <c r="M51" s="89"/>
      <c r="N51" s="89"/>
    </row>
    <row r="52" spans="1:15" ht="15" thickBot="1">
      <c r="A52" s="4" t="s">
        <v>276</v>
      </c>
      <c r="C52" s="54">
        <f>'5. Financials - drinking water'!C52+'6. Financials - wastewater'!C52+'7. Financials - stormwater'!C52</f>
        <v>0</v>
      </c>
      <c r="E52" s="54">
        <f>'5. Financials - drinking water'!E52+'6. Financials - wastewater'!E52+'7. Financials - stormwater'!E52</f>
        <v>8561.3578960000086</v>
      </c>
      <c r="F52" s="54">
        <f>'5. Financials - drinking water'!F52+'6. Financials - wastewater'!F52+'7. Financials - stormwater'!F52</f>
        <v>16218.604315511997</v>
      </c>
      <c r="G52" s="54">
        <f>'5. Financials - drinking water'!G52+'6. Financials - wastewater'!G52+'7. Financials - stormwater'!G52</f>
        <v>16764.850119392173</v>
      </c>
      <c r="H52" s="54">
        <f>'5. Financials - drinking water'!H52+'6. Financials - wastewater'!H52+'7. Financials - stormwater'!H52</f>
        <v>17685.190759649344</v>
      </c>
      <c r="I52" s="54">
        <f>'5. Financials - drinking water'!I52+'6. Financials - wastewater'!I52+'7. Financials - stormwater'!I52</f>
        <v>22196.178592447628</v>
      </c>
      <c r="J52" s="54">
        <f>'5. Financials - drinking water'!J52+'6. Financials - wastewater'!J52+'7. Financials - stormwater'!J52</f>
        <v>19413.935160527948</v>
      </c>
      <c r="K52" s="54">
        <f>'5. Financials - drinking water'!K52+'6. Financials - wastewater'!K52+'7. Financials - stormwater'!K52</f>
        <v>24416.088437523191</v>
      </c>
      <c r="L52" s="54">
        <f>'5. Financials - drinking water'!L52+'6. Financials - wastewater'!L52+'7. Financials - stormwater'!L52</f>
        <v>20138.675062425013</v>
      </c>
      <c r="M52" s="54">
        <f>'5. Financials - drinking water'!M52+'6. Financials - wastewater'!M52+'7. Financials - stormwater'!M52</f>
        <v>27073.669505769449</v>
      </c>
      <c r="N52" s="54">
        <f>'5. Financials - drinking water'!N52+'6. Financials - wastewater'!N52+'7. Financials - stormwater'!N52</f>
        <v>21223.313160484478</v>
      </c>
    </row>
    <row r="53" spans="1:15" ht="15" thickBot="1">
      <c r="A53" s="85" t="s">
        <v>277</v>
      </c>
      <c r="C53" s="10">
        <f>C50+C52</f>
        <v>16293.456977633581</v>
      </c>
      <c r="E53" s="10">
        <f t="shared" ref="E53:N53" si="15">E50+E52</f>
        <v>8454.3917760000113</v>
      </c>
      <c r="F53" s="10">
        <f t="shared" si="15"/>
        <v>17101.52884551201</v>
      </c>
      <c r="G53" s="10">
        <f t="shared" si="15"/>
        <v>19711.399299392189</v>
      </c>
      <c r="H53" s="10">
        <f t="shared" si="15"/>
        <v>17678.853362313832</v>
      </c>
      <c r="I53" s="10">
        <f t="shared" si="15"/>
        <v>22195.448555143201</v>
      </c>
      <c r="J53" s="10">
        <f t="shared" si="15"/>
        <v>23701.163103379742</v>
      </c>
      <c r="K53" s="10">
        <f t="shared" si="15"/>
        <v>31435.73745793329</v>
      </c>
      <c r="L53" s="10">
        <f t="shared" si="15"/>
        <v>28533.702150568264</v>
      </c>
      <c r="M53" s="10">
        <f t="shared" si="15"/>
        <v>34220.285368013341</v>
      </c>
      <c r="N53" s="10">
        <f t="shared" si="15"/>
        <v>27927.908527519492</v>
      </c>
    </row>
    <row r="54" spans="1:15" ht="5.25" customHeight="1" thickBot="1">
      <c r="A54" s="4"/>
      <c r="C54" s="54"/>
      <c r="E54" s="89"/>
      <c r="F54" s="89"/>
      <c r="G54" s="89"/>
      <c r="H54" s="89"/>
      <c r="I54" s="89"/>
      <c r="J54" s="89"/>
      <c r="K54" s="89"/>
      <c r="L54" s="89"/>
      <c r="M54" s="89"/>
      <c r="N54" s="89"/>
    </row>
    <row r="55" spans="1:15" ht="15" thickBot="1">
      <c r="A55" s="85" t="s">
        <v>278</v>
      </c>
      <c r="C55" s="10">
        <f>C50+C47</f>
        <v>16293.456977633581</v>
      </c>
      <c r="E55" s="10">
        <f t="shared" ref="E55:N55" si="16">E50+E47</f>
        <v>16455.761910000001</v>
      </c>
      <c r="F55" s="10">
        <f t="shared" si="16"/>
        <v>18048.837100000012</v>
      </c>
      <c r="G55" s="11">
        <f t="shared" si="16"/>
        <v>22244.381780000014</v>
      </c>
      <c r="H55" s="11">
        <f t="shared" si="16"/>
        <v>20111.426562664485</v>
      </c>
      <c r="I55" s="11">
        <f t="shared" si="16"/>
        <v>21731.359422695572</v>
      </c>
      <c r="J55" s="11">
        <f t="shared" si="16"/>
        <v>27734.91818285179</v>
      </c>
      <c r="K55" s="11">
        <f t="shared" si="16"/>
        <v>31772.190627193704</v>
      </c>
      <c r="L55" s="11">
        <f t="shared" si="16"/>
        <v>34193.266022032098</v>
      </c>
      <c r="M55" s="11">
        <f t="shared" si="16"/>
        <v>34422.798298928814</v>
      </c>
      <c r="N55" s="11">
        <f t="shared" si="16"/>
        <v>34433.612299216678</v>
      </c>
    </row>
    <row r="56" spans="1:15" ht="15" thickBot="1"/>
    <row r="57" spans="1:15" ht="15" thickBot="1">
      <c r="A57" s="81" t="s">
        <v>279</v>
      </c>
      <c r="B57" s="82"/>
      <c r="C57" s="82" t="s">
        <v>96</v>
      </c>
      <c r="D57" s="82"/>
      <c r="E57" s="82" t="s">
        <v>86</v>
      </c>
      <c r="F57" s="82" t="s">
        <v>87</v>
      </c>
      <c r="G57" s="82" t="s">
        <v>88</v>
      </c>
      <c r="H57" s="82" t="s">
        <v>89</v>
      </c>
      <c r="I57" s="82" t="s">
        <v>90</v>
      </c>
      <c r="J57" s="82" t="s">
        <v>91</v>
      </c>
      <c r="K57" s="82" t="s">
        <v>92</v>
      </c>
      <c r="L57" s="82" t="s">
        <v>93</v>
      </c>
      <c r="M57" s="82" t="s">
        <v>94</v>
      </c>
      <c r="N57" s="82" t="s">
        <v>95</v>
      </c>
    </row>
    <row r="58" spans="1:15" ht="15" thickBot="1">
      <c r="A58" s="43" t="s">
        <v>280</v>
      </c>
      <c r="C58" s="3"/>
      <c r="E58" s="3"/>
      <c r="F58" s="3"/>
      <c r="G58" s="3"/>
      <c r="H58" s="3"/>
      <c r="I58" s="3"/>
      <c r="J58" s="3"/>
      <c r="K58" s="3"/>
      <c r="L58" s="3"/>
      <c r="M58" s="3"/>
      <c r="N58" s="3"/>
      <c r="O58" s="83"/>
    </row>
    <row r="59" spans="1:15" ht="15" thickBot="1">
      <c r="A59" s="4" t="s">
        <v>281</v>
      </c>
      <c r="C59" s="54">
        <f>C$55</f>
        <v>16293.456977633581</v>
      </c>
      <c r="E59" s="54">
        <f t="shared" ref="E59:N59" si="17">E$55</f>
        <v>16455.761910000001</v>
      </c>
      <c r="F59" s="54">
        <f t="shared" si="17"/>
        <v>18048.837100000012</v>
      </c>
      <c r="G59" s="54">
        <f t="shared" si="17"/>
        <v>22244.381780000014</v>
      </c>
      <c r="H59" s="54">
        <f t="shared" si="17"/>
        <v>20111.426562664485</v>
      </c>
      <c r="I59" s="54">
        <f t="shared" si="17"/>
        <v>21731.359422695572</v>
      </c>
      <c r="J59" s="54">
        <f t="shared" si="17"/>
        <v>27734.91818285179</v>
      </c>
      <c r="K59" s="54">
        <f t="shared" si="17"/>
        <v>31772.190627193704</v>
      </c>
      <c r="L59" s="54">
        <f t="shared" si="17"/>
        <v>34193.266022032098</v>
      </c>
      <c r="M59" s="54">
        <f t="shared" si="17"/>
        <v>34422.798298928814</v>
      </c>
      <c r="N59" s="54">
        <f t="shared" si="17"/>
        <v>34433.612299216678</v>
      </c>
    </row>
    <row r="60" spans="1:15" ht="15" thickBot="1">
      <c r="A60" s="4" t="s">
        <v>282</v>
      </c>
      <c r="C60" s="54"/>
      <c r="E60" s="54"/>
      <c r="F60" s="54"/>
      <c r="G60" s="54"/>
      <c r="H60" s="54"/>
      <c r="I60" s="54"/>
      <c r="J60" s="54"/>
      <c r="K60" s="54"/>
      <c r="L60" s="54"/>
      <c r="M60" s="54"/>
      <c r="N60" s="54"/>
    </row>
    <row r="61" spans="1:15" ht="15" thickBot="1">
      <c r="A61" s="85" t="s">
        <v>283</v>
      </c>
      <c r="C61" s="10">
        <f>SUM(C59:C60)</f>
        <v>16293.456977633581</v>
      </c>
      <c r="E61" s="10">
        <f t="shared" ref="E61:N61" si="18">SUM(E59:E60)</f>
        <v>16455.761910000001</v>
      </c>
      <c r="F61" s="10">
        <f t="shared" si="18"/>
        <v>18048.837100000012</v>
      </c>
      <c r="G61" s="10">
        <f t="shared" si="18"/>
        <v>22244.381780000014</v>
      </c>
      <c r="H61" s="10">
        <f t="shared" si="18"/>
        <v>20111.426562664485</v>
      </c>
      <c r="I61" s="10">
        <f t="shared" si="18"/>
        <v>21731.359422695572</v>
      </c>
      <c r="J61" s="10">
        <f t="shared" si="18"/>
        <v>27734.91818285179</v>
      </c>
      <c r="K61" s="10">
        <f t="shared" si="18"/>
        <v>31772.190627193704</v>
      </c>
      <c r="L61" s="10">
        <f t="shared" si="18"/>
        <v>34193.266022032098</v>
      </c>
      <c r="M61" s="10">
        <f t="shared" si="18"/>
        <v>34422.798298928814</v>
      </c>
      <c r="N61" s="10">
        <f t="shared" si="18"/>
        <v>34433.612299216678</v>
      </c>
    </row>
    <row r="62" spans="1:15" ht="5.25" customHeight="1" thickBot="1">
      <c r="A62" s="4"/>
      <c r="C62" s="54"/>
      <c r="E62" s="89"/>
      <c r="F62" s="89"/>
      <c r="G62" s="89"/>
      <c r="H62" s="89"/>
      <c r="I62" s="89"/>
      <c r="J62" s="89"/>
      <c r="K62" s="89"/>
      <c r="L62" s="89"/>
      <c r="M62" s="89"/>
      <c r="N62" s="89"/>
    </row>
    <row r="63" spans="1:15" ht="15" thickBot="1">
      <c r="A63" s="43" t="s">
        <v>284</v>
      </c>
      <c r="C63" s="3"/>
      <c r="E63" s="3"/>
      <c r="F63" s="3"/>
      <c r="G63" s="3"/>
      <c r="H63" s="3"/>
      <c r="I63" s="3"/>
      <c r="J63" s="3"/>
      <c r="K63" s="3"/>
      <c r="L63" s="3"/>
      <c r="M63" s="3"/>
      <c r="N63" s="3"/>
      <c r="O63" s="83"/>
    </row>
    <row r="64" spans="1:15" ht="15" thickBot="1">
      <c r="A64" s="4" t="s">
        <v>282</v>
      </c>
      <c r="C64" s="54">
        <f>-C32</f>
        <v>-155</v>
      </c>
      <c r="E64" s="54">
        <f>-E32</f>
        <v>0</v>
      </c>
      <c r="F64" s="54">
        <f t="shared" ref="F64:N64" si="19">-F32</f>
        <v>0</v>
      </c>
      <c r="G64" s="54">
        <f t="shared" si="19"/>
        <v>0</v>
      </c>
      <c r="H64" s="54">
        <f t="shared" si="19"/>
        <v>-5000</v>
      </c>
      <c r="I64" s="54">
        <f t="shared" si="19"/>
        <v>0</v>
      </c>
      <c r="J64" s="54">
        <f t="shared" si="19"/>
        <v>0</v>
      </c>
      <c r="K64" s="54">
        <f t="shared" si="19"/>
        <v>0</v>
      </c>
      <c r="L64" s="54">
        <f t="shared" si="19"/>
        <v>0</v>
      </c>
      <c r="M64" s="54">
        <f t="shared" si="19"/>
        <v>0</v>
      </c>
      <c r="N64" s="54">
        <f t="shared" si="19"/>
        <v>0</v>
      </c>
    </row>
    <row r="65" spans="1:15" ht="15" thickBot="1">
      <c r="A65" s="4" t="s">
        <v>183</v>
      </c>
      <c r="C65" s="54">
        <f>-SUM(C$28:C$30)</f>
        <v>-36310.56697</v>
      </c>
      <c r="E65" s="54">
        <f t="shared" ref="E65:N65" si="20">-SUM(E$28:E$30)</f>
        <v>-41524.374409999997</v>
      </c>
      <c r="F65" s="54">
        <f t="shared" si="20"/>
        <v>-53223.330119999999</v>
      </c>
      <c r="G65" s="54">
        <f t="shared" si="20"/>
        <v>-57442.128289999993</v>
      </c>
      <c r="H65" s="54">
        <f t="shared" si="20"/>
        <v>-63763.496249500007</v>
      </c>
      <c r="I65" s="54">
        <f t="shared" si="20"/>
        <v>-53050.241678499995</v>
      </c>
      <c r="J65" s="54">
        <f t="shared" si="20"/>
        <v>-42078.48895198667</v>
      </c>
      <c r="K65" s="54">
        <f t="shared" si="20"/>
        <v>-44572.895025788021</v>
      </c>
      <c r="L65" s="54">
        <f t="shared" si="20"/>
        <v>-39657.01015690963</v>
      </c>
      <c r="M65" s="54">
        <f t="shared" si="20"/>
        <v>-36708.107215258475</v>
      </c>
      <c r="N65" s="54">
        <f t="shared" si="20"/>
        <v>-34531.708187991491</v>
      </c>
    </row>
    <row r="66" spans="1:15" ht="15" thickBot="1">
      <c r="A66" s="85" t="s">
        <v>285</v>
      </c>
      <c r="C66" s="10">
        <f>SUM(C64:C65)</f>
        <v>-36465.56697</v>
      </c>
      <c r="E66" s="10">
        <f t="shared" ref="E66:N66" si="21">SUM(E64:E65)</f>
        <v>-41524.374409999997</v>
      </c>
      <c r="F66" s="10">
        <f t="shared" si="21"/>
        <v>-53223.330119999999</v>
      </c>
      <c r="G66" s="10">
        <f t="shared" si="21"/>
        <v>-57442.128289999993</v>
      </c>
      <c r="H66" s="10">
        <f t="shared" si="21"/>
        <v>-68763.496249500007</v>
      </c>
      <c r="I66" s="10">
        <f t="shared" si="21"/>
        <v>-53050.241678499995</v>
      </c>
      <c r="J66" s="10">
        <f t="shared" si="21"/>
        <v>-42078.48895198667</v>
      </c>
      <c r="K66" s="10">
        <f t="shared" si="21"/>
        <v>-44572.895025788021</v>
      </c>
      <c r="L66" s="10">
        <f t="shared" si="21"/>
        <v>-39657.01015690963</v>
      </c>
      <c r="M66" s="10">
        <f t="shared" si="21"/>
        <v>-36708.107215258475</v>
      </c>
      <c r="N66" s="10">
        <f t="shared" si="21"/>
        <v>-34531.708187991491</v>
      </c>
    </row>
    <row r="67" spans="1:15" ht="5.25" customHeight="1" thickBot="1">
      <c r="A67" s="4"/>
      <c r="C67" s="54"/>
      <c r="E67" s="89"/>
      <c r="F67" s="89"/>
      <c r="G67" s="89"/>
      <c r="H67" s="89"/>
      <c r="I67" s="89"/>
      <c r="J67" s="89"/>
      <c r="K67" s="89"/>
      <c r="L67" s="89"/>
      <c r="M67" s="89"/>
      <c r="N67" s="89"/>
    </row>
    <row r="68" spans="1:15" ht="15" thickBot="1">
      <c r="A68" s="43" t="s">
        <v>286</v>
      </c>
      <c r="C68" s="3"/>
      <c r="E68" s="3"/>
      <c r="F68" s="3"/>
      <c r="G68" s="3"/>
      <c r="H68" s="3"/>
      <c r="I68" s="3"/>
      <c r="J68" s="3"/>
      <c r="K68" s="3"/>
      <c r="L68" s="3"/>
      <c r="M68" s="3"/>
      <c r="N68" s="3"/>
      <c r="O68" s="83"/>
    </row>
    <row r="69" spans="1:15" ht="15" thickBot="1">
      <c r="A69" s="4" t="s">
        <v>287</v>
      </c>
      <c r="C69" s="54">
        <f>C$22-C$70-C$31</f>
        <v>17693.109992366408</v>
      </c>
      <c r="E69" s="54">
        <f>E$22-E$70-E$31</f>
        <v>25068.469749999997</v>
      </c>
      <c r="F69" s="54">
        <f t="shared" ref="F69:N69" si="22">F$22-F$70-F$31</f>
        <v>35174.309430000001</v>
      </c>
      <c r="G69" s="54">
        <f t="shared" si="22"/>
        <v>35198.221890000001</v>
      </c>
      <c r="H69" s="54">
        <f>H$22-H$70-H$31</f>
        <v>48651.996976835515</v>
      </c>
      <c r="I69" s="54">
        <f t="shared" si="22"/>
        <v>31318.997525804447</v>
      </c>
      <c r="J69" s="54">
        <f t="shared" si="22"/>
        <v>14343.571019134892</v>
      </c>
      <c r="K69" s="54">
        <f t="shared" si="22"/>
        <v>12800.704688594316</v>
      </c>
      <c r="L69" s="54">
        <f t="shared" si="22"/>
        <v>5463.7443648775461</v>
      </c>
      <c r="M69" s="54">
        <f t="shared" si="22"/>
        <v>2285.309156329658</v>
      </c>
      <c r="N69" s="54">
        <f t="shared" si="22"/>
        <v>98.096218774816407</v>
      </c>
    </row>
    <row r="70" spans="1:15" ht="15" thickBot="1">
      <c r="A70" s="4" t="s">
        <v>288</v>
      </c>
      <c r="C70" s="54"/>
      <c r="E70" s="54"/>
      <c r="F70" s="54"/>
      <c r="G70" s="54"/>
      <c r="H70" s="54"/>
      <c r="I70" s="54"/>
      <c r="J70" s="54"/>
      <c r="K70" s="54"/>
      <c r="L70" s="54"/>
      <c r="M70" s="54"/>
      <c r="N70" s="54"/>
    </row>
    <row r="71" spans="1:15" ht="15" thickBot="1">
      <c r="A71" s="85" t="s">
        <v>289</v>
      </c>
      <c r="C71" s="10">
        <f>SUM(C69:C70)</f>
        <v>17693.109992366408</v>
      </c>
      <c r="E71" s="10">
        <f t="shared" ref="E71:N71" si="23">SUM(E69:E70)</f>
        <v>25068.469749999997</v>
      </c>
      <c r="F71" s="10">
        <f t="shared" si="23"/>
        <v>35174.309430000001</v>
      </c>
      <c r="G71" s="10">
        <f t="shared" si="23"/>
        <v>35198.221890000001</v>
      </c>
      <c r="H71" s="10">
        <f t="shared" si="23"/>
        <v>48651.996976835515</v>
      </c>
      <c r="I71" s="10">
        <f t="shared" si="23"/>
        <v>31318.997525804447</v>
      </c>
      <c r="J71" s="10">
        <f t="shared" si="23"/>
        <v>14343.571019134892</v>
      </c>
      <c r="K71" s="10">
        <f t="shared" si="23"/>
        <v>12800.704688594316</v>
      </c>
      <c r="L71" s="10">
        <f t="shared" si="23"/>
        <v>5463.7443648775461</v>
      </c>
      <c r="M71" s="10">
        <f t="shared" si="23"/>
        <v>2285.309156329658</v>
      </c>
      <c r="N71" s="10">
        <f t="shared" si="23"/>
        <v>98.096218774816407</v>
      </c>
    </row>
    <row r="72" spans="1:15" ht="5.25" customHeight="1" thickBot="1">
      <c r="A72" s="4"/>
      <c r="C72" s="89"/>
      <c r="E72" s="89"/>
      <c r="F72" s="89"/>
      <c r="G72" s="89"/>
      <c r="H72" s="89"/>
      <c r="I72" s="89"/>
      <c r="J72" s="89"/>
      <c r="K72" s="89"/>
      <c r="L72" s="89"/>
      <c r="M72" s="89"/>
      <c r="N72" s="89"/>
    </row>
    <row r="73" spans="1:15" ht="15" thickBot="1">
      <c r="A73" s="85" t="s">
        <v>290</v>
      </c>
      <c r="C73" s="11">
        <f>C61+C66+C71</f>
        <v>-2479.0000000000109</v>
      </c>
      <c r="E73" s="11">
        <f t="shared" ref="E73:N73" si="24">E61+E66+E71</f>
        <v>-0.14274999999906868</v>
      </c>
      <c r="F73" s="11">
        <f t="shared" si="24"/>
        <v>-0.18358999998599757</v>
      </c>
      <c r="G73" s="11">
        <f t="shared" si="24"/>
        <v>0.47538000001804903</v>
      </c>
      <c r="H73" s="10">
        <f t="shared" si="24"/>
        <v>-7.2710000007646158E-2</v>
      </c>
      <c r="I73" s="11">
        <f t="shared" si="24"/>
        <v>0.11527000002388377</v>
      </c>
      <c r="J73" s="11">
        <f t="shared" si="24"/>
        <v>2.5000001187436283E-4</v>
      </c>
      <c r="K73" s="11">
        <f t="shared" si="24"/>
        <v>2.8999999994994141E-4</v>
      </c>
      <c r="L73" s="11">
        <f t="shared" si="24"/>
        <v>2.3000001419859473E-4</v>
      </c>
      <c r="M73" s="11">
        <f t="shared" si="24"/>
        <v>2.399999971203215E-4</v>
      </c>
      <c r="N73" s="11">
        <f t="shared" si="24"/>
        <v>3.3000000348692993E-4</v>
      </c>
    </row>
    <row r="74" spans="1:15" ht="5.25" customHeight="1" thickBot="1">
      <c r="A74" s="4"/>
      <c r="C74" s="89"/>
      <c r="E74" s="89"/>
      <c r="F74" s="89"/>
      <c r="G74" s="89"/>
      <c r="H74" s="89"/>
      <c r="I74" s="89"/>
      <c r="J74" s="89"/>
      <c r="K74" s="89"/>
      <c r="L74" s="89"/>
      <c r="M74" s="89"/>
      <c r="N74" s="89"/>
    </row>
    <row r="75" spans="1:15" ht="15" thickBot="1">
      <c r="A75" s="85" t="s">
        <v>291</v>
      </c>
      <c r="C75" s="10">
        <f>C76-C73</f>
        <v>-12788.999999999989</v>
      </c>
      <c r="E75" s="11">
        <f>C76</f>
        <v>-15268</v>
      </c>
      <c r="F75" s="11">
        <f t="shared" ref="F75:N75" si="25">E76</f>
        <v>-15268.142749999999</v>
      </c>
      <c r="G75" s="11">
        <f t="shared" si="25"/>
        <v>-15268.326339999985</v>
      </c>
      <c r="H75" s="11">
        <f t="shared" si="25"/>
        <v>-15267.850959999967</v>
      </c>
      <c r="I75" s="11">
        <f t="shared" si="25"/>
        <v>-15267.923669999975</v>
      </c>
      <c r="J75" s="11">
        <f t="shared" si="25"/>
        <v>-15267.808399999951</v>
      </c>
      <c r="K75" s="11">
        <f t="shared" si="25"/>
        <v>-15267.808149999939</v>
      </c>
      <c r="L75" s="11">
        <f t="shared" si="25"/>
        <v>-15267.807859999939</v>
      </c>
      <c r="M75" s="11">
        <f t="shared" si="25"/>
        <v>-15267.807629999925</v>
      </c>
      <c r="N75" s="11">
        <f t="shared" si="25"/>
        <v>-15267.807389999927</v>
      </c>
    </row>
    <row r="76" spans="1:15" ht="15" thickBot="1">
      <c r="A76" s="85" t="s">
        <v>292</v>
      </c>
      <c r="C76" s="11">
        <f>C80</f>
        <v>-15268</v>
      </c>
      <c r="E76" s="11">
        <f t="shared" ref="E76:N76" si="26">E73+E75</f>
        <v>-15268.142749999999</v>
      </c>
      <c r="F76" s="10">
        <f t="shared" si="26"/>
        <v>-15268.326339999985</v>
      </c>
      <c r="G76" s="11">
        <f t="shared" si="26"/>
        <v>-15267.850959999967</v>
      </c>
      <c r="H76" s="10">
        <f>H73+H75</f>
        <v>-15267.923669999975</v>
      </c>
      <c r="I76" s="11">
        <f t="shared" si="26"/>
        <v>-15267.808399999951</v>
      </c>
      <c r="J76" s="11">
        <f t="shared" si="26"/>
        <v>-15267.808149999939</v>
      </c>
      <c r="K76" s="11">
        <f t="shared" si="26"/>
        <v>-15267.807859999939</v>
      </c>
      <c r="L76" s="11">
        <f t="shared" si="26"/>
        <v>-15267.807629999925</v>
      </c>
      <c r="M76" s="11">
        <f t="shared" si="26"/>
        <v>-15267.807389999927</v>
      </c>
      <c r="N76" s="11">
        <f t="shared" si="26"/>
        <v>-15267.807059999923</v>
      </c>
    </row>
    <row r="77" spans="1:15" ht="15" thickBot="1"/>
    <row r="78" spans="1:15" ht="15" thickBot="1">
      <c r="A78" s="81" t="s">
        <v>293</v>
      </c>
      <c r="B78" s="82"/>
      <c r="C78" s="82" t="s">
        <v>96</v>
      </c>
      <c r="D78" s="82"/>
      <c r="E78" s="82" t="s">
        <v>86</v>
      </c>
      <c r="F78" s="82" t="s">
        <v>87</v>
      </c>
      <c r="G78" s="82" t="s">
        <v>88</v>
      </c>
      <c r="H78" s="82" t="s">
        <v>89</v>
      </c>
      <c r="I78" s="82" t="s">
        <v>90</v>
      </c>
      <c r="J78" s="82" t="s">
        <v>91</v>
      </c>
      <c r="K78" s="82" t="s">
        <v>92</v>
      </c>
      <c r="L78" s="82" t="s">
        <v>93</v>
      </c>
      <c r="M78" s="82" t="s">
        <v>94</v>
      </c>
      <c r="N78" s="82" t="s">
        <v>95</v>
      </c>
      <c r="O78" s="83"/>
    </row>
    <row r="79" spans="1:15" ht="15" thickBot="1">
      <c r="A79" s="43" t="s">
        <v>294</v>
      </c>
      <c r="C79" s="3"/>
      <c r="E79" s="3"/>
      <c r="F79" s="3"/>
      <c r="G79" s="3"/>
      <c r="H79" s="3"/>
      <c r="I79" s="3"/>
      <c r="J79" s="3"/>
      <c r="K79" s="3"/>
      <c r="L79" s="3"/>
      <c r="M79" s="3"/>
      <c r="N79" s="3"/>
      <c r="O79" s="83"/>
    </row>
    <row r="80" spans="1:15" ht="15" thickBot="1">
      <c r="A80" s="4" t="s">
        <v>295</v>
      </c>
      <c r="C80" s="54">
        <f>'5. Financials - drinking water'!C80+'6. Financials - wastewater'!C80+'7. Financials - stormwater'!C80</f>
        <v>-15268</v>
      </c>
      <c r="E80" s="54">
        <f t="shared" ref="E80:N80" si="27">E76</f>
        <v>-15268.142749999999</v>
      </c>
      <c r="F80" s="54">
        <f t="shared" si="27"/>
        <v>-15268.326339999985</v>
      </c>
      <c r="G80" s="54">
        <f t="shared" si="27"/>
        <v>-15267.850959999967</v>
      </c>
      <c r="H80" s="54">
        <f t="shared" si="27"/>
        <v>-15267.923669999975</v>
      </c>
      <c r="I80" s="54">
        <f t="shared" si="27"/>
        <v>-15267.808399999951</v>
      </c>
      <c r="J80" s="54">
        <f t="shared" si="27"/>
        <v>-15267.808149999939</v>
      </c>
      <c r="K80" s="54">
        <f t="shared" si="27"/>
        <v>-15267.807859999939</v>
      </c>
      <c r="L80" s="54">
        <f t="shared" si="27"/>
        <v>-15267.807629999925</v>
      </c>
      <c r="M80" s="54">
        <f t="shared" si="27"/>
        <v>-15267.807389999927</v>
      </c>
      <c r="N80" s="54">
        <f t="shared" si="27"/>
        <v>-15267.807059999923</v>
      </c>
    </row>
    <row r="81" spans="1:15" ht="15" thickBot="1">
      <c r="A81" s="4" t="s">
        <v>296</v>
      </c>
      <c r="C81" s="54">
        <f>'5. Financials - drinking water'!C81+'6. Financials - wastewater'!C81+'7. Financials - stormwater'!C81</f>
        <v>0</v>
      </c>
      <c r="E81" s="54">
        <f>'5. Financials - drinking water'!E81+'6. Financials - wastewater'!E81+'7. Financials - stormwater'!E81</f>
        <v>0</v>
      </c>
      <c r="F81" s="54">
        <f>'5. Financials - drinking water'!F81+'6. Financials - wastewater'!F81+'7. Financials - stormwater'!F81</f>
        <v>0</v>
      </c>
      <c r="G81" s="54">
        <f>'5. Financials - drinking water'!G81+'6. Financials - wastewater'!G81+'7. Financials - stormwater'!G81</f>
        <v>0</v>
      </c>
      <c r="H81" s="54">
        <f>'5. Financials - drinking water'!H81+'6. Financials - wastewater'!H81+'7. Financials - stormwater'!H81</f>
        <v>0</v>
      </c>
      <c r="I81" s="54">
        <f>'5. Financials - drinking water'!I81+'6. Financials - wastewater'!I81+'7. Financials - stormwater'!I81</f>
        <v>0</v>
      </c>
      <c r="J81" s="54">
        <f>'5. Financials - drinking water'!J81+'6. Financials - wastewater'!J81+'7. Financials - stormwater'!J81</f>
        <v>0</v>
      </c>
      <c r="K81" s="54">
        <f>'5. Financials - drinking water'!K81+'6. Financials - wastewater'!K81+'7. Financials - stormwater'!K81</f>
        <v>0</v>
      </c>
      <c r="L81" s="54">
        <f>'5. Financials - drinking water'!L81+'6. Financials - wastewater'!L81+'7. Financials - stormwater'!L81</f>
        <v>0</v>
      </c>
      <c r="M81" s="54">
        <f>'5. Financials - drinking water'!M81+'6. Financials - wastewater'!M81+'7. Financials - stormwater'!M81</f>
        <v>0</v>
      </c>
      <c r="N81" s="54">
        <f>'5. Financials - drinking water'!N81+'6. Financials - wastewater'!N81+'7. Financials - stormwater'!N81</f>
        <v>0</v>
      </c>
    </row>
    <row r="82" spans="1:15" ht="15" thickBot="1">
      <c r="A82" s="4" t="s">
        <v>297</v>
      </c>
      <c r="C82" s="54">
        <f>'5. Financials - drinking water'!C82+'6. Financials - wastewater'!C82+'7. Financials - stormwater'!C82</f>
        <v>621550.10100000002</v>
      </c>
      <c r="E82" s="54">
        <f>'5. Financials - drinking water'!E82+'6. Financials - wastewater'!E82+'7. Financials - stormwater'!E82</f>
        <v>655073.1052760001</v>
      </c>
      <c r="F82" s="54">
        <f>'5. Financials - drinking water'!F82+'6. Financials - wastewater'!F82+'7. Financials - stormwater'!F82</f>
        <v>707349.12714151212</v>
      </c>
      <c r="G82" s="54">
        <f>'5. Financials - drinking water'!G82+'6. Financials - wastewater'!G82+'7. Financials - stormwater'!G82</f>
        <v>762258.27295090433</v>
      </c>
      <c r="H82" s="54">
        <f>'5. Financials - drinking water'!H82+'6. Financials - wastewater'!H82+'7. Financials - stormwater'!H82</f>
        <v>823589.19600005355</v>
      </c>
      <c r="I82" s="54">
        <f>'5. Financials - drinking water'!I82+'6. Financials - wastewater'!I82+'7. Financials - stormwater'!I82</f>
        <v>877103.52681100124</v>
      </c>
      <c r="J82" s="54">
        <f>'5. Financials - drinking water'!J82+'6. Financials - wastewater'!J82+'7. Financials - stormwater'!J82</f>
        <v>915148.26068351569</v>
      </c>
      <c r="K82" s="54">
        <f>'5. Financials - drinking water'!K82+'6. Financials - wastewater'!K82+'7. Financials - stormwater'!K82</f>
        <v>959384.70254004339</v>
      </c>
      <c r="L82" s="54">
        <f>'5. Financials - drinking water'!L82+'6. Financials - wastewater'!L82+'7. Financials - stormwater'!L82</f>
        <v>993382.14882548922</v>
      </c>
      <c r="M82" s="54">
        <f>'5. Financials - drinking water'!M82+'6. Financials - wastewater'!M82+'7. Financials - stormwater'!M82</f>
        <v>1029887.7431098322</v>
      </c>
      <c r="N82" s="54">
        <f>'5. Financials - drinking water'!N82+'6. Financials - wastewater'!N82+'7. Financials - stormwater'!N82</f>
        <v>1057913.7475261264</v>
      </c>
    </row>
    <row r="83" spans="1:15" ht="15" thickBot="1">
      <c r="A83" s="4" t="s">
        <v>298</v>
      </c>
      <c r="C83" s="54">
        <f>'5. Financials - drinking water'!C83+'6. Financials - wastewater'!C83+'7. Financials - stormwater'!C83</f>
        <v>0</v>
      </c>
      <c r="E83" s="54">
        <f>'5. Financials - drinking water'!E83+'6. Financials - wastewater'!E83+'7. Financials - stormwater'!E83</f>
        <v>0</v>
      </c>
      <c r="F83" s="54">
        <f>'5. Financials - drinking water'!F83+'6. Financials - wastewater'!F83+'7. Financials - stormwater'!F83</f>
        <v>0</v>
      </c>
      <c r="G83" s="54">
        <f>'5. Financials - drinking water'!G83+'6. Financials - wastewater'!G83+'7. Financials - stormwater'!G83</f>
        <v>0</v>
      </c>
      <c r="H83" s="54">
        <f>'5. Financials - drinking water'!H83+'6. Financials - wastewater'!H83+'7. Financials - stormwater'!H83</f>
        <v>5000</v>
      </c>
      <c r="I83" s="54">
        <f>'5. Financials - drinking water'!I83+'6. Financials - wastewater'!I83+'7. Financials - stormwater'!I83</f>
        <v>5000</v>
      </c>
      <c r="J83" s="54">
        <f>'5. Financials - drinking water'!J83+'6. Financials - wastewater'!J83+'7. Financials - stormwater'!J83</f>
        <v>5000</v>
      </c>
      <c r="K83" s="54">
        <f>'5. Financials - drinking water'!K83+'6. Financials - wastewater'!K83+'7. Financials - stormwater'!K83</f>
        <v>5000</v>
      </c>
      <c r="L83" s="54">
        <f>'5. Financials - drinking water'!L83+'6. Financials - wastewater'!L83+'7. Financials - stormwater'!L83</f>
        <v>5000</v>
      </c>
      <c r="M83" s="54">
        <f>'5. Financials - drinking water'!M83+'6. Financials - wastewater'!M83+'7. Financials - stormwater'!M83</f>
        <v>5000</v>
      </c>
      <c r="N83" s="54">
        <f>'5. Financials - drinking water'!N83+'6. Financials - wastewater'!N83+'7. Financials - stormwater'!N83</f>
        <v>5000</v>
      </c>
    </row>
    <row r="84" spans="1:15" ht="15" thickBot="1">
      <c r="A84" s="85" t="s">
        <v>299</v>
      </c>
      <c r="C84" s="11">
        <f>SUM(C80:C83)</f>
        <v>606282.10100000002</v>
      </c>
      <c r="E84" s="11">
        <f t="shared" ref="E84:N84" si="28">SUM(E80:E83)</f>
        <v>639804.9625260001</v>
      </c>
      <c r="F84" s="11">
        <f t="shared" si="28"/>
        <v>692080.80080151209</v>
      </c>
      <c r="G84" s="11">
        <f t="shared" si="28"/>
        <v>746990.42199090437</v>
      </c>
      <c r="H84" s="11">
        <f t="shared" si="28"/>
        <v>813321.27233005362</v>
      </c>
      <c r="I84" s="11">
        <f t="shared" si="28"/>
        <v>866835.71841100126</v>
      </c>
      <c r="J84" s="11">
        <f t="shared" si="28"/>
        <v>904880.45253351575</v>
      </c>
      <c r="K84" s="11">
        <f t="shared" si="28"/>
        <v>949116.89468004345</v>
      </c>
      <c r="L84" s="11">
        <f t="shared" si="28"/>
        <v>983114.34119548928</v>
      </c>
      <c r="M84" s="11">
        <f t="shared" si="28"/>
        <v>1019619.9357198322</v>
      </c>
      <c r="N84" s="11">
        <f t="shared" si="28"/>
        <v>1047645.9404661265</v>
      </c>
    </row>
    <row r="85" spans="1:15" ht="5.25" customHeight="1" thickBot="1">
      <c r="A85" s="4"/>
      <c r="C85" s="89"/>
      <c r="E85" s="89"/>
      <c r="F85" s="89"/>
      <c r="G85" s="89"/>
      <c r="H85" s="89"/>
      <c r="I85" s="89"/>
      <c r="J85" s="89"/>
      <c r="K85" s="89"/>
      <c r="L85" s="89"/>
      <c r="M85" s="89"/>
      <c r="N85" s="89"/>
    </row>
    <row r="86" spans="1:15" ht="15" thickBot="1">
      <c r="A86" s="43" t="s">
        <v>300</v>
      </c>
      <c r="C86" s="3"/>
      <c r="E86" s="3"/>
      <c r="F86" s="3"/>
      <c r="G86" s="3"/>
      <c r="H86" s="3"/>
      <c r="I86" s="3"/>
      <c r="J86" s="3"/>
      <c r="K86" s="3"/>
      <c r="L86" s="3"/>
      <c r="M86" s="3"/>
      <c r="N86" s="3"/>
      <c r="O86" s="83"/>
    </row>
    <row r="87" spans="1:15" ht="15" thickBot="1">
      <c r="A87" s="4" t="s">
        <v>301</v>
      </c>
      <c r="C87" s="54">
        <f>'5. Financials - drinking water'!C87+'6. Financials - wastewater'!C87+'7. Financials - stormwater'!C87</f>
        <v>0</v>
      </c>
      <c r="E87" s="54">
        <f>'5. Financials - drinking water'!E87+'6. Financials - wastewater'!E87+'7. Financials - stormwater'!E87</f>
        <v>0</v>
      </c>
      <c r="F87" s="54">
        <f>'5. Financials - drinking water'!F87+'6. Financials - wastewater'!F87+'7. Financials - stormwater'!F87</f>
        <v>0</v>
      </c>
      <c r="G87" s="54">
        <f>'5. Financials - drinking water'!G87+'6. Financials - wastewater'!G87+'7. Financials - stormwater'!G87</f>
        <v>0</v>
      </c>
      <c r="H87" s="54">
        <f>'5. Financials - drinking water'!H87+'6. Financials - wastewater'!H87+'7. Financials - stormwater'!H87</f>
        <v>0</v>
      </c>
      <c r="I87" s="54">
        <f>'5. Financials - drinking water'!I87+'6. Financials - wastewater'!I87+'7. Financials - stormwater'!I87</f>
        <v>0</v>
      </c>
      <c r="J87" s="54">
        <f>'5. Financials - drinking water'!J87+'6. Financials - wastewater'!J87+'7. Financials - stormwater'!J87</f>
        <v>0</v>
      </c>
      <c r="K87" s="54">
        <f>'5. Financials - drinking water'!K87+'6. Financials - wastewater'!K87+'7. Financials - stormwater'!K87</f>
        <v>0</v>
      </c>
      <c r="L87" s="54">
        <f>'5. Financials - drinking water'!L87+'6. Financials - wastewater'!L87+'7. Financials - stormwater'!L87</f>
        <v>0</v>
      </c>
      <c r="M87" s="54">
        <f>'5. Financials - drinking water'!M87+'6. Financials - wastewater'!M87+'7. Financials - stormwater'!M87</f>
        <v>0</v>
      </c>
      <c r="N87" s="54">
        <f>'5. Financials - drinking water'!N87+'6. Financials - wastewater'!N87+'7. Financials - stormwater'!N87</f>
        <v>0</v>
      </c>
    </row>
    <row r="88" spans="1:15" ht="15" thickBot="1">
      <c r="A88" s="4" t="s">
        <v>302</v>
      </c>
      <c r="C88" s="54">
        <f>'5. Financials - drinking water'!C88+'6. Financials - wastewater'!C88+'7. Financials - stormwater'!C88</f>
        <v>0</v>
      </c>
      <c r="E88" s="54">
        <f>'5. Financials - drinking water'!E88+'6. Financials - wastewater'!E88+'7. Financials - stormwater'!E88</f>
        <v>0</v>
      </c>
      <c r="F88" s="54">
        <f>'5. Financials - drinking water'!F88+'6. Financials - wastewater'!F88+'7. Financials - stormwater'!F88</f>
        <v>0</v>
      </c>
      <c r="G88" s="54">
        <f>'5. Financials - drinking water'!G88+'6. Financials - wastewater'!G88+'7. Financials - stormwater'!G88</f>
        <v>0</v>
      </c>
      <c r="H88" s="54">
        <f>'5. Financials - drinking water'!H88+'6. Financials - wastewater'!H88+'7. Financials - stormwater'!H88</f>
        <v>0</v>
      </c>
      <c r="I88" s="54">
        <f>'5. Financials - drinking water'!I88+'6. Financials - wastewater'!I88+'7. Financials - stormwater'!I88</f>
        <v>0</v>
      </c>
      <c r="J88" s="54">
        <f>'5. Financials - drinking water'!J88+'6. Financials - wastewater'!J88+'7. Financials - stormwater'!J88</f>
        <v>0</v>
      </c>
      <c r="K88" s="54">
        <f>'5. Financials - drinking water'!K88+'6. Financials - wastewater'!K88+'7. Financials - stormwater'!K88</f>
        <v>0</v>
      </c>
      <c r="L88" s="54">
        <f>'5. Financials - drinking water'!L88+'6. Financials - wastewater'!L88+'7. Financials - stormwater'!L88</f>
        <v>0</v>
      </c>
      <c r="M88" s="54">
        <f>'5. Financials - drinking water'!M88+'6. Financials - wastewater'!M88+'7. Financials - stormwater'!M88</f>
        <v>0</v>
      </c>
      <c r="N88" s="54">
        <f>'5. Financials - drinking water'!N88+'6. Financials - wastewater'!N88+'7. Financials - stormwater'!N88</f>
        <v>0</v>
      </c>
    </row>
    <row r="89" spans="1:15" ht="15" thickBot="1">
      <c r="A89" s="4" t="s">
        <v>303</v>
      </c>
      <c r="C89" s="54">
        <f>'5. Financials - drinking water'!C89+'6. Financials - wastewater'!C89+'7. Financials - stormwater'!C89</f>
        <v>114435.31999999999</v>
      </c>
      <c r="E89" s="54">
        <f>'5. Financials - drinking water'!E89+'6. Financials - wastewater'!E89+'7. Financials - stormwater'!E89</f>
        <v>139503.78975</v>
      </c>
      <c r="F89" s="54">
        <f>'5. Financials - drinking water'!F89+'6. Financials - wastewater'!F89+'7. Financials - stormwater'!F89</f>
        <v>174678.09917999999</v>
      </c>
      <c r="G89" s="54">
        <f>'5. Financials - drinking water'!G89+'6. Financials - wastewater'!G89+'7. Financials - stormwater'!G89</f>
        <v>209876.32107000001</v>
      </c>
      <c r="H89" s="54">
        <f>'5. Financials - drinking water'!H89+'6. Financials - wastewater'!H89+'7. Financials - stormwater'!H89</f>
        <v>258528.31804683548</v>
      </c>
      <c r="I89" s="54">
        <f>'5. Financials - drinking water'!I89+'6. Financials - wastewater'!I89+'7. Financials - stormwater'!I89</f>
        <v>289847.31557263993</v>
      </c>
      <c r="J89" s="54">
        <f>'5. Financials - drinking water'!J89+'6. Financials - wastewater'!J89+'7. Financials - stormwater'!J89</f>
        <v>304190.88659177482</v>
      </c>
      <c r="K89" s="54">
        <f>'5. Financials - drinking water'!K89+'6. Financials - wastewater'!K89+'7. Financials - stormwater'!K89</f>
        <v>316991.5912803692</v>
      </c>
      <c r="L89" s="54">
        <f>'5. Financials - drinking water'!L89+'6. Financials - wastewater'!L89+'7. Financials - stormwater'!L89</f>
        <v>322455.33564524667</v>
      </c>
      <c r="M89" s="54">
        <f>'5. Financials - drinking water'!M89+'6. Financials - wastewater'!M89+'7. Financials - stormwater'!M89</f>
        <v>324740.64480157633</v>
      </c>
      <c r="N89" s="54">
        <f>'5. Financials - drinking water'!N89+'6. Financials - wastewater'!N89+'7. Financials - stormwater'!N89</f>
        <v>324838.74102035118</v>
      </c>
    </row>
    <row r="90" spans="1:15" ht="15" thickBot="1">
      <c r="A90" s="4" t="s">
        <v>304</v>
      </c>
      <c r="C90" s="54">
        <f>'5. Financials - drinking water'!C90+'6. Financials - wastewater'!C90+'7. Financials - stormwater'!C90</f>
        <v>0</v>
      </c>
      <c r="E90" s="54">
        <f>'5. Financials - drinking water'!E90+'6. Financials - wastewater'!E90+'7. Financials - stormwater'!E90</f>
        <v>0</v>
      </c>
      <c r="F90" s="54">
        <f>'5. Financials - drinking water'!F90+'6. Financials - wastewater'!F90+'7. Financials - stormwater'!F90</f>
        <v>0</v>
      </c>
      <c r="G90" s="54">
        <f>'5. Financials - drinking water'!G90+'6. Financials - wastewater'!G90+'7. Financials - stormwater'!G90</f>
        <v>0</v>
      </c>
      <c r="H90" s="54">
        <f>'5. Financials - drinking water'!H90+'6. Financials - wastewater'!H90+'7. Financials - stormwater'!H90</f>
        <v>0</v>
      </c>
      <c r="I90" s="54">
        <f>'5. Financials - drinking water'!I90+'6. Financials - wastewater'!I90+'7. Financials - stormwater'!I90</f>
        <v>0</v>
      </c>
      <c r="J90" s="54">
        <f>'5. Financials - drinking water'!J90+'6. Financials - wastewater'!J90+'7. Financials - stormwater'!J90</f>
        <v>0</v>
      </c>
      <c r="K90" s="54">
        <f>'5. Financials - drinking water'!K90+'6. Financials - wastewater'!K90+'7. Financials - stormwater'!K90</f>
        <v>0</v>
      </c>
      <c r="L90" s="54">
        <f>'5. Financials - drinking water'!L90+'6. Financials - wastewater'!L90+'7. Financials - stormwater'!L90</f>
        <v>0</v>
      </c>
      <c r="M90" s="54">
        <f>'5. Financials - drinking water'!M90+'6. Financials - wastewater'!M90+'7. Financials - stormwater'!M90</f>
        <v>0</v>
      </c>
      <c r="N90" s="54">
        <f>'5. Financials - drinking water'!N90+'6. Financials - wastewater'!N90+'7. Financials - stormwater'!N90</f>
        <v>0</v>
      </c>
    </row>
    <row r="91" spans="1:15" ht="15" thickBot="1">
      <c r="A91" s="85" t="s">
        <v>305</v>
      </c>
      <c r="C91" s="11">
        <f>SUM(C87:C90)</f>
        <v>114435.31999999999</v>
      </c>
      <c r="E91" s="10">
        <f t="shared" ref="E91:N91" si="29">SUM(E87:E90)</f>
        <v>139503.78975</v>
      </c>
      <c r="F91" s="11">
        <f t="shared" si="29"/>
        <v>174678.09917999999</v>
      </c>
      <c r="G91" s="11">
        <f t="shared" si="29"/>
        <v>209876.32107000001</v>
      </c>
      <c r="H91" s="11">
        <f t="shared" si="29"/>
        <v>258528.31804683548</v>
      </c>
      <c r="I91" s="11">
        <f t="shared" si="29"/>
        <v>289847.31557263993</v>
      </c>
      <c r="J91" s="11">
        <f t="shared" si="29"/>
        <v>304190.88659177482</v>
      </c>
      <c r="K91" s="11">
        <f t="shared" si="29"/>
        <v>316991.5912803692</v>
      </c>
      <c r="L91" s="11">
        <f t="shared" si="29"/>
        <v>322455.33564524667</v>
      </c>
      <c r="M91" s="11">
        <f t="shared" si="29"/>
        <v>324740.64480157633</v>
      </c>
      <c r="N91" s="11">
        <f t="shared" si="29"/>
        <v>324838.74102035118</v>
      </c>
    </row>
    <row r="92" spans="1:15" ht="5.25" customHeight="1" thickBot="1">
      <c r="A92" s="4"/>
      <c r="C92" s="54"/>
      <c r="E92" s="54"/>
      <c r="F92" s="89"/>
      <c r="G92" s="89"/>
      <c r="H92" s="89"/>
      <c r="I92" s="89"/>
      <c r="J92" s="89"/>
      <c r="K92" s="89"/>
      <c r="L92" s="89"/>
      <c r="M92" s="89"/>
      <c r="N92" s="89"/>
    </row>
    <row r="93" spans="1:15" ht="15" thickBot="1">
      <c r="A93" s="85" t="s">
        <v>306</v>
      </c>
      <c r="C93" s="11">
        <f>C84-C91</f>
        <v>491846.78100000002</v>
      </c>
      <c r="E93" s="11">
        <f t="shared" ref="E93:N93" si="30">E84-E91</f>
        <v>500301.17277600011</v>
      </c>
      <c r="F93" s="11">
        <f t="shared" si="30"/>
        <v>517402.70162151207</v>
      </c>
      <c r="G93" s="11">
        <f t="shared" si="30"/>
        <v>537114.10092090443</v>
      </c>
      <c r="H93" s="11">
        <f t="shared" si="30"/>
        <v>554792.95428321813</v>
      </c>
      <c r="I93" s="11">
        <f t="shared" si="30"/>
        <v>576988.40283836133</v>
      </c>
      <c r="J93" s="11">
        <f t="shared" si="30"/>
        <v>600689.56594174099</v>
      </c>
      <c r="K93" s="11">
        <f t="shared" si="30"/>
        <v>632125.30339967425</v>
      </c>
      <c r="L93" s="11">
        <f t="shared" si="30"/>
        <v>660659.00555024261</v>
      </c>
      <c r="M93" s="11">
        <f t="shared" si="30"/>
        <v>694879.29091825592</v>
      </c>
      <c r="N93" s="11">
        <f t="shared" si="30"/>
        <v>722807.19944577536</v>
      </c>
    </row>
    <row r="94" spans="1:15" ht="5.25" customHeight="1" thickBot="1">
      <c r="A94" s="4"/>
      <c r="C94" s="89"/>
      <c r="E94" s="89"/>
      <c r="F94" s="89"/>
      <c r="G94" s="89"/>
      <c r="H94" s="89"/>
      <c r="I94" s="89"/>
      <c r="J94" s="89"/>
      <c r="K94" s="89"/>
      <c r="L94" s="89"/>
      <c r="M94" s="89"/>
      <c r="N94" s="89"/>
    </row>
    <row r="95" spans="1:15" ht="15" thickBot="1">
      <c r="A95" s="43" t="s">
        <v>307</v>
      </c>
      <c r="C95" s="3"/>
      <c r="E95" s="3"/>
      <c r="F95" s="3"/>
      <c r="G95" s="3"/>
      <c r="H95" s="3"/>
      <c r="I95" s="3"/>
      <c r="J95" s="3"/>
      <c r="K95" s="3"/>
      <c r="L95" s="3"/>
      <c r="M95" s="3"/>
      <c r="N95" s="3"/>
      <c r="O95" s="83"/>
    </row>
    <row r="96" spans="1:15" ht="15" thickBot="1">
      <c r="A96" s="4" t="s">
        <v>308</v>
      </c>
      <c r="C96" s="54">
        <f>'5. Financials - drinking water'!C96+'6. Financials - wastewater'!C96+'7. Financials - stormwater'!C96</f>
        <v>0</v>
      </c>
      <c r="E96" s="54">
        <f>'5. Financials - drinking water'!E96+'6. Financials - wastewater'!E96+'7. Financials - stormwater'!E96</f>
        <v>8561.3578960000086</v>
      </c>
      <c r="F96" s="54">
        <f>'5. Financials - drinking water'!F96+'6. Financials - wastewater'!F96+'7. Financials - stormwater'!F96</f>
        <v>24779.962211512007</v>
      </c>
      <c r="G96" s="54">
        <f>'5. Financials - drinking water'!G96+'6. Financials - wastewater'!G96+'7. Financials - stormwater'!G96</f>
        <v>41544.812330904177</v>
      </c>
      <c r="H96" s="54">
        <f>'5. Financials - drinking water'!H96+'6. Financials - wastewater'!H96+'7. Financials - stormwater'!H96</f>
        <v>59230.003090553524</v>
      </c>
      <c r="I96" s="54">
        <f>'5. Financials - drinking water'!I96+'6. Financials - wastewater'!I96+'7. Financials - stormwater'!I96</f>
        <v>81426.181683001167</v>
      </c>
      <c r="J96" s="54">
        <f>'5. Financials - drinking water'!J96+'6. Financials - wastewater'!J96+'7. Financials - stormwater'!J96</f>
        <v>100840.1168435291</v>
      </c>
      <c r="K96" s="54">
        <f>'5. Financials - drinking water'!K96+'6. Financials - wastewater'!K96+'7. Financials - stormwater'!K96</f>
        <v>125256.2052810523</v>
      </c>
      <c r="L96" s="54">
        <f>'5. Financials - drinking water'!L96+'6. Financials - wastewater'!L96+'7. Financials - stormwater'!L96</f>
        <v>145394.8803434773</v>
      </c>
      <c r="M96" s="54">
        <f>'5. Financials - drinking water'!M96+'6. Financials - wastewater'!M96+'7. Financials - stormwater'!M96</f>
        <v>172468.54984924677</v>
      </c>
      <c r="N96" s="54">
        <f>'5. Financials - drinking water'!N96+'6. Financials - wastewater'!N96+'7. Financials - stormwater'!N96</f>
        <v>193691.86300973123</v>
      </c>
    </row>
    <row r="97" spans="1:14" ht="15" thickBot="1">
      <c r="A97" s="4" t="s">
        <v>309</v>
      </c>
      <c r="C97" s="54">
        <f>'5. Financials - drinking water'!C97+'6. Financials - wastewater'!C97+'7. Financials - stormwater'!C97</f>
        <v>491846.78099999996</v>
      </c>
      <c r="E97" s="54">
        <f>'5. Financials - drinking water'!E97+'6. Financials - wastewater'!E97+'7. Financials - stormwater'!E97</f>
        <v>491739.81488000002</v>
      </c>
      <c r="F97" s="54">
        <f>'5. Financials - drinking water'!F97+'6. Financials - wastewater'!F97+'7. Financials - stormwater'!F97</f>
        <v>492622.73941000004</v>
      </c>
      <c r="G97" s="54">
        <f>'5. Financials - drinking water'!G97+'6. Financials - wastewater'!G97+'7. Financials - stormwater'!G97</f>
        <v>495569.28859000001</v>
      </c>
      <c r="H97" s="54">
        <f>'5. Financials - drinking water'!H97+'6. Financials - wastewater'!H97+'7. Financials - stormwater'!H97</f>
        <v>495562.95119266451</v>
      </c>
      <c r="I97" s="54">
        <f>'5. Financials - drinking water'!I97+'6. Financials - wastewater'!I97+'7. Financials - stormwater'!I97</f>
        <v>495562.22115536011</v>
      </c>
      <c r="J97" s="54">
        <f>'5. Financials - drinking water'!J97+'6. Financials - wastewater'!J97+'7. Financials - stormwater'!J97</f>
        <v>499849.44909821183</v>
      </c>
      <c r="K97" s="54">
        <f>'5. Financials - drinking water'!K97+'6. Financials - wastewater'!K97+'7. Financials - stormwater'!K97</f>
        <v>506869.09811862191</v>
      </c>
      <c r="L97" s="54">
        <f>'5. Financials - drinking water'!L97+'6. Financials - wastewater'!L97+'7. Financials - stormwater'!L97</f>
        <v>515264.12520676519</v>
      </c>
      <c r="M97" s="54">
        <f>'5. Financials - drinking water'!M97+'6. Financials - wastewater'!M97+'7. Financials - stormwater'!M97</f>
        <v>522410.74106900912</v>
      </c>
      <c r="N97" s="54">
        <f>'5. Financials - drinking water'!N97+'6. Financials - wastewater'!N97+'7. Financials - stormwater'!N97</f>
        <v>529115.33643604408</v>
      </c>
    </row>
    <row r="98" spans="1:14" ht="15" thickBot="1">
      <c r="A98" s="85" t="s">
        <v>310</v>
      </c>
      <c r="C98" s="11">
        <f>SUM(C96:C97)</f>
        <v>491846.78099999996</v>
      </c>
      <c r="E98" s="10">
        <f t="shared" ref="E98:N98" si="31">SUM(E96:E97)</f>
        <v>500301.17277600005</v>
      </c>
      <c r="F98" s="10">
        <f t="shared" si="31"/>
        <v>517402.70162151207</v>
      </c>
      <c r="G98" s="11">
        <f t="shared" si="31"/>
        <v>537114.10092090419</v>
      </c>
      <c r="H98" s="11">
        <f t="shared" si="31"/>
        <v>554792.95428321802</v>
      </c>
      <c r="I98" s="11">
        <f t="shared" si="31"/>
        <v>576988.40283836122</v>
      </c>
      <c r="J98" s="11">
        <f t="shared" si="31"/>
        <v>600689.56594174099</v>
      </c>
      <c r="K98" s="11">
        <f t="shared" si="31"/>
        <v>632125.30339967425</v>
      </c>
      <c r="L98" s="11">
        <f t="shared" si="31"/>
        <v>660659.00555024249</v>
      </c>
      <c r="M98" s="11">
        <f t="shared" si="31"/>
        <v>694879.29091825592</v>
      </c>
      <c r="N98" s="11">
        <f t="shared" si="31"/>
        <v>722807.19944577524</v>
      </c>
    </row>
  </sheetData>
  <pageMargins left="0.7" right="0.7" top="0.75" bottom="0.75" header="0.3" footer="0.3"/>
  <pageSetup paperSize="8" scale="45"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67A7-886D-405A-8FD9-535E9B599E05}">
  <sheetPr codeName="Sheet30">
    <pageSetUpPr fitToPage="1"/>
  </sheetPr>
  <dimension ref="A1:S98"/>
  <sheetViews>
    <sheetView topLeftCell="A8" zoomScale="80" zoomScaleNormal="80" workbookViewId="0">
      <selection activeCell="L33" sqref="L33"/>
    </sheetView>
  </sheetViews>
  <sheetFormatPr defaultColWidth="7.81640625" defaultRowHeight="14.5"/>
  <cols>
    <col min="1" max="1" width="79.7265625" style="1" customWidth="1"/>
    <col min="2" max="2" width="1.81640625" style="1" customWidth="1"/>
    <col min="3" max="3" width="15" style="1" customWidth="1"/>
    <col min="4" max="4" width="2.26953125" style="1" customWidth="1"/>
    <col min="5" max="14" width="15" style="1" customWidth="1"/>
    <col min="15" max="16" width="11.26953125" style="1" customWidth="1"/>
    <col min="17" max="17" width="7.81640625" style="1"/>
    <col min="18" max="19" width="11.26953125" style="1" customWidth="1"/>
    <col min="20" max="16384" width="7.81640625" style="1"/>
  </cols>
  <sheetData>
    <row r="1" spans="1:19" ht="15" thickBot="1">
      <c r="A1" s="81" t="s">
        <v>240</v>
      </c>
      <c r="B1" s="82"/>
      <c r="C1" s="82" t="s">
        <v>96</v>
      </c>
      <c r="D1" s="82"/>
      <c r="E1" s="82" t="s">
        <v>86</v>
      </c>
      <c r="F1" s="82" t="s">
        <v>87</v>
      </c>
      <c r="G1" s="82" t="s">
        <v>88</v>
      </c>
      <c r="H1" s="82" t="s">
        <v>89</v>
      </c>
      <c r="I1" s="82" t="s">
        <v>90</v>
      </c>
      <c r="J1" s="82" t="s">
        <v>91</v>
      </c>
      <c r="K1" s="82" t="s">
        <v>92</v>
      </c>
      <c r="L1" s="82" t="s">
        <v>93</v>
      </c>
      <c r="M1" s="82" t="s">
        <v>94</v>
      </c>
      <c r="N1" s="82" t="s">
        <v>95</v>
      </c>
      <c r="O1" s="83"/>
      <c r="P1" s="82" t="s">
        <v>171</v>
      </c>
    </row>
    <row r="2" spans="1:19" ht="15" thickBot="1">
      <c r="A2" s="43" t="s">
        <v>241</v>
      </c>
      <c r="C2" s="3"/>
      <c r="E2" s="3"/>
      <c r="F2" s="3"/>
      <c r="G2" s="3"/>
      <c r="H2" s="3"/>
      <c r="I2" s="3"/>
      <c r="J2" s="3"/>
      <c r="K2" s="3"/>
      <c r="L2" s="3"/>
      <c r="M2" s="3"/>
      <c r="N2" s="3"/>
      <c r="O2" s="83"/>
      <c r="P2" s="3"/>
    </row>
    <row r="3" spans="1:19" ht="15" thickBot="1">
      <c r="A3" s="4" t="s">
        <v>242</v>
      </c>
      <c r="C3" s="90">
        <v>262</v>
      </c>
      <c r="E3" s="90">
        <v>183</v>
      </c>
      <c r="F3" s="91">
        <v>257</v>
      </c>
      <c r="G3" s="91">
        <v>312</v>
      </c>
      <c r="H3" s="91">
        <v>341</v>
      </c>
      <c r="I3" s="91">
        <v>365</v>
      </c>
      <c r="J3" s="91">
        <v>387</v>
      </c>
      <c r="K3" s="91">
        <v>423</v>
      </c>
      <c r="L3" s="91">
        <v>434</v>
      </c>
      <c r="M3" s="91">
        <v>434</v>
      </c>
      <c r="N3" s="91">
        <v>448</v>
      </c>
      <c r="P3" s="84">
        <f>SUM(E3:N3)</f>
        <v>3584</v>
      </c>
      <c r="S3" s="1" t="s">
        <v>98</v>
      </c>
    </row>
    <row r="4" spans="1:19" ht="15" thickBot="1">
      <c r="A4" s="4" t="s">
        <v>243</v>
      </c>
      <c r="C4" s="90">
        <v>16156.905429999999</v>
      </c>
      <c r="E4" s="90">
        <v>18676.672910000001</v>
      </c>
      <c r="F4" s="90">
        <v>21050.498070000001</v>
      </c>
      <c r="G4" s="91">
        <v>22977.86261</v>
      </c>
      <c r="H4" s="91">
        <v>26076.859678723988</v>
      </c>
      <c r="I4" s="91">
        <v>30451.913888437259</v>
      </c>
      <c r="J4" s="91">
        <v>33241.203666658039</v>
      </c>
      <c r="K4" s="91">
        <v>34646.192867894511</v>
      </c>
      <c r="L4" s="91">
        <v>35054.995353947656</v>
      </c>
      <c r="M4" s="91">
        <v>35462.54500074203</v>
      </c>
      <c r="N4" s="91">
        <v>35744.806914696979</v>
      </c>
      <c r="P4" s="84">
        <f>SUM(E4:N4)</f>
        <v>293383.5509611005</v>
      </c>
      <c r="S4" s="1" t="s">
        <v>98</v>
      </c>
    </row>
    <row r="5" spans="1:19" ht="15" thickBot="1">
      <c r="A5" s="4" t="s">
        <v>244</v>
      </c>
      <c r="C5" s="91">
        <v>521.30226000000005</v>
      </c>
      <c r="E5" s="91">
        <v>1234.4000000000001</v>
      </c>
      <c r="F5" s="91">
        <v>836.03125</v>
      </c>
      <c r="G5" s="91">
        <v>0</v>
      </c>
      <c r="H5" s="91">
        <v>0</v>
      </c>
      <c r="I5" s="91">
        <v>0</v>
      </c>
      <c r="J5" s="91">
        <v>0</v>
      </c>
      <c r="K5" s="91">
        <v>0</v>
      </c>
      <c r="L5" s="91">
        <v>0</v>
      </c>
      <c r="M5" s="91">
        <v>0</v>
      </c>
      <c r="N5" s="91">
        <v>0</v>
      </c>
      <c r="P5" s="84">
        <f>SUM(E5:N5)</f>
        <v>2070.4312500000001</v>
      </c>
      <c r="S5" s="1" t="s">
        <v>98</v>
      </c>
    </row>
    <row r="6" spans="1:19" ht="15" thickBot="1">
      <c r="A6" s="4" t="s">
        <v>245</v>
      </c>
      <c r="C6" s="91">
        <v>290.12888839999999</v>
      </c>
      <c r="E6" s="91">
        <v>94</v>
      </c>
      <c r="F6" s="91">
        <v>219.72125</v>
      </c>
      <c r="G6" s="91">
        <v>97.989000000000004</v>
      </c>
      <c r="H6" s="91">
        <v>100.339</v>
      </c>
      <c r="I6" s="91">
        <v>102.68899999999999</v>
      </c>
      <c r="J6" s="91">
        <v>105.03399999999999</v>
      </c>
      <c r="K6" s="91">
        <v>107.286</v>
      </c>
      <c r="L6" s="91">
        <v>109.538</v>
      </c>
      <c r="M6" s="91">
        <v>111.785</v>
      </c>
      <c r="N6" s="91">
        <v>114.03700000000001</v>
      </c>
      <c r="P6" s="84">
        <f>SUM(E6:N6)</f>
        <v>1162.4182500000002</v>
      </c>
      <c r="S6" s="1" t="s">
        <v>98</v>
      </c>
    </row>
    <row r="7" spans="1:19" ht="15" thickBot="1">
      <c r="A7" s="4" t="s">
        <v>246</v>
      </c>
      <c r="C7" s="91">
        <v>699.12765999999999</v>
      </c>
      <c r="E7" s="91">
        <v>609.62400000000002</v>
      </c>
      <c r="F7" s="91">
        <v>658.18399999999997</v>
      </c>
      <c r="G7" s="91">
        <v>511.22899999999998</v>
      </c>
      <c r="H7" s="91">
        <v>525.31360000000006</v>
      </c>
      <c r="I7" s="91">
        <v>539.39880000000005</v>
      </c>
      <c r="J7" s="91">
        <v>553.0132000000001</v>
      </c>
      <c r="K7" s="91">
        <v>566.16359999999997</v>
      </c>
      <c r="L7" s="91">
        <v>579.3098</v>
      </c>
      <c r="M7" s="91">
        <v>591.99059999999997</v>
      </c>
      <c r="N7" s="91">
        <v>605.14160000000004</v>
      </c>
      <c r="P7" s="84">
        <f>SUM(E7:N7)</f>
        <v>5739.3681999999999</v>
      </c>
      <c r="S7" s="1" t="s">
        <v>98</v>
      </c>
    </row>
    <row r="8" spans="1:19" ht="15" thickBot="1">
      <c r="A8" s="85" t="s">
        <v>247</v>
      </c>
      <c r="C8" s="10">
        <f>SUM(C3:C7)</f>
        <v>17929.464238399996</v>
      </c>
      <c r="E8" s="10">
        <f t="shared" ref="E8:M8" si="0">SUM(E3:E7)</f>
        <v>20797.696910000002</v>
      </c>
      <c r="F8" s="11">
        <f t="shared" si="0"/>
        <v>23021.434570000001</v>
      </c>
      <c r="G8" s="11">
        <f t="shared" si="0"/>
        <v>23899.080610000001</v>
      </c>
      <c r="H8" s="11">
        <f t="shared" si="0"/>
        <v>27043.512278723989</v>
      </c>
      <c r="I8" s="11">
        <f t="shared" si="0"/>
        <v>31459.001688437256</v>
      </c>
      <c r="J8" s="11">
        <f t="shared" si="0"/>
        <v>34286.25086665804</v>
      </c>
      <c r="K8" s="11">
        <f t="shared" si="0"/>
        <v>35742.642467894511</v>
      </c>
      <c r="L8" s="11">
        <f t="shared" si="0"/>
        <v>36177.843153947659</v>
      </c>
      <c r="M8" s="11">
        <f t="shared" si="0"/>
        <v>36600.32060074203</v>
      </c>
      <c r="N8" s="11">
        <f>SUM(N3:N7)</f>
        <v>36911.985514696978</v>
      </c>
      <c r="P8" s="11">
        <f>SUM(P3:P7)</f>
        <v>305939.76866110053</v>
      </c>
    </row>
    <row r="9" spans="1:19" ht="5.25" customHeight="1" thickBot="1">
      <c r="A9" s="62"/>
      <c r="E9" s="86"/>
      <c r="F9" s="86"/>
      <c r="G9" s="86"/>
      <c r="H9" s="86"/>
      <c r="I9" s="86"/>
      <c r="J9" s="86"/>
      <c r="K9" s="86"/>
      <c r="L9" s="86"/>
      <c r="M9" s="86"/>
      <c r="N9" s="86"/>
    </row>
    <row r="10" spans="1:19" ht="15" thickBot="1">
      <c r="A10" s="43" t="s">
        <v>248</v>
      </c>
      <c r="C10" s="3"/>
      <c r="E10" s="3"/>
      <c r="F10" s="3"/>
      <c r="G10" s="3"/>
      <c r="H10" s="3"/>
      <c r="I10" s="3"/>
      <c r="J10" s="3"/>
      <c r="K10" s="3"/>
      <c r="L10" s="3"/>
      <c r="M10" s="3"/>
      <c r="N10" s="3"/>
      <c r="O10" s="83"/>
      <c r="P10" s="3"/>
    </row>
    <row r="11" spans="1:19" ht="15" thickBot="1">
      <c r="A11" s="4" t="s">
        <v>249</v>
      </c>
      <c r="C11" s="91">
        <v>9366.4505900000004</v>
      </c>
      <c r="E11" s="91">
        <v>11049.96602</v>
      </c>
      <c r="F11" s="91">
        <v>11491.98446</v>
      </c>
      <c r="G11" s="91">
        <v>10310.85442</v>
      </c>
      <c r="H11" s="91">
        <v>11060.789226043373</v>
      </c>
      <c r="I11" s="91">
        <v>12051.516431194457</v>
      </c>
      <c r="J11" s="91">
        <v>11367.200613698409</v>
      </c>
      <c r="K11" s="91">
        <v>11571.348393206537</v>
      </c>
      <c r="L11" s="91">
        <v>11641.297584335023</v>
      </c>
      <c r="M11" s="91">
        <v>11757.898140354071</v>
      </c>
      <c r="N11" s="91">
        <v>11907.387731633795</v>
      </c>
      <c r="P11" s="84">
        <f>SUM(E11:N11)</f>
        <v>114210.24302046567</v>
      </c>
      <c r="S11" s="1" t="s">
        <v>98</v>
      </c>
    </row>
    <row r="12" spans="1:19" ht="15" thickBot="1">
      <c r="A12" s="4" t="s">
        <v>250</v>
      </c>
      <c r="C12" s="91">
        <v>1151.98343</v>
      </c>
      <c r="E12" s="91">
        <v>1383.5149999999999</v>
      </c>
      <c r="F12" s="91">
        <v>1626.19677</v>
      </c>
      <c r="G12" s="91">
        <v>2400.8092200000001</v>
      </c>
      <c r="H12" s="91">
        <v>5901.5713506604325</v>
      </c>
      <c r="I12" s="91">
        <v>6730.9125487552337</v>
      </c>
      <c r="J12" s="91">
        <v>6882.6611669572949</v>
      </c>
      <c r="K12" s="91">
        <v>6663.248210189362</v>
      </c>
      <c r="L12" s="91">
        <v>6481.5234857659852</v>
      </c>
      <c r="M12" s="91">
        <v>6329.9030166163775</v>
      </c>
      <c r="N12" s="91">
        <v>6248.112314455524</v>
      </c>
      <c r="P12" s="84">
        <f>SUM(E12:N12)</f>
        <v>50648.453083400207</v>
      </c>
      <c r="S12" s="1" t="s">
        <v>98</v>
      </c>
    </row>
    <row r="13" spans="1:19" ht="15" thickBot="1">
      <c r="A13" s="4" t="s">
        <v>251</v>
      </c>
      <c r="C13" s="91">
        <v>2788.14759</v>
      </c>
      <c r="E13" s="91">
        <v>3041.2510600000001</v>
      </c>
      <c r="F13" s="91">
        <v>3279.1107300000003</v>
      </c>
      <c r="G13" s="91">
        <v>3284.2727199999999</v>
      </c>
      <c r="H13" s="91">
        <v>3154.5629100000001</v>
      </c>
      <c r="I13" s="91">
        <v>3236.78881</v>
      </c>
      <c r="J13" s="91">
        <v>3351.3154</v>
      </c>
      <c r="K13" s="91">
        <v>3387.2308199999998</v>
      </c>
      <c r="L13" s="91">
        <v>3482.1694499999994</v>
      </c>
      <c r="M13" s="91">
        <v>3569.4606399999998</v>
      </c>
      <c r="N13" s="90">
        <v>3622.9326599999999</v>
      </c>
      <c r="P13" s="84">
        <f>SUM(E13:N13)</f>
        <v>33409.095200000003</v>
      </c>
      <c r="S13" s="1" t="s">
        <v>98</v>
      </c>
    </row>
    <row r="14" spans="1:19" ht="15" thickBot="1">
      <c r="A14" s="4" t="s">
        <v>252</v>
      </c>
      <c r="C14" s="91">
        <v>0</v>
      </c>
      <c r="E14" s="91">
        <v>0</v>
      </c>
      <c r="F14" s="91">
        <v>0</v>
      </c>
      <c r="G14" s="91">
        <v>0</v>
      </c>
      <c r="H14" s="91">
        <v>0</v>
      </c>
      <c r="I14" s="91">
        <v>0</v>
      </c>
      <c r="J14" s="91">
        <v>0</v>
      </c>
      <c r="K14" s="91">
        <v>0</v>
      </c>
      <c r="L14" s="91">
        <v>0</v>
      </c>
      <c r="M14" s="91">
        <v>0</v>
      </c>
      <c r="N14" s="91">
        <v>0</v>
      </c>
      <c r="P14" s="84">
        <f>SUM(E14:N14)</f>
        <v>0</v>
      </c>
      <c r="S14" s="1" t="s">
        <v>98</v>
      </c>
    </row>
    <row r="15" spans="1:19" ht="15" thickBot="1">
      <c r="A15" s="85" t="s">
        <v>253</v>
      </c>
      <c r="C15" s="10">
        <f>SUM(C11:C14)</f>
        <v>13306.581610000001</v>
      </c>
      <c r="E15" s="11">
        <f t="shared" ref="E15:M15" si="1">SUM(E11:E14)</f>
        <v>15474.73208</v>
      </c>
      <c r="F15" s="11">
        <f t="shared" si="1"/>
        <v>16397.291960000002</v>
      </c>
      <c r="G15" s="11">
        <f t="shared" si="1"/>
        <v>15995.93636</v>
      </c>
      <c r="H15" s="11">
        <f t="shared" si="1"/>
        <v>20116.923486703807</v>
      </c>
      <c r="I15" s="11">
        <f t="shared" si="1"/>
        <v>22019.217789949689</v>
      </c>
      <c r="J15" s="11">
        <f t="shared" si="1"/>
        <v>21601.177180655704</v>
      </c>
      <c r="K15" s="11">
        <f t="shared" si="1"/>
        <v>21621.827423395898</v>
      </c>
      <c r="L15" s="11">
        <f t="shared" si="1"/>
        <v>21604.990520101011</v>
      </c>
      <c r="M15" s="11">
        <f t="shared" si="1"/>
        <v>21657.261796970448</v>
      </c>
      <c r="N15" s="11">
        <f>SUM(N11:N14)</f>
        <v>21778.432706089319</v>
      </c>
      <c r="P15" s="11">
        <f>SUM(P11:P14)</f>
        <v>198267.79130386587</v>
      </c>
    </row>
    <row r="16" spans="1:19" ht="5.25" customHeight="1" thickBot="1">
      <c r="A16" s="87"/>
    </row>
    <row r="17" spans="1:19" ht="15" thickBot="1">
      <c r="A17" s="85" t="s">
        <v>254</v>
      </c>
      <c r="C17" s="11">
        <f>C8-C15</f>
        <v>4622.8826283999952</v>
      </c>
      <c r="E17" s="11">
        <f t="shared" ref="E17:M17" si="2">E8-E15</f>
        <v>5322.9648300000026</v>
      </c>
      <c r="F17" s="11">
        <f t="shared" si="2"/>
        <v>6624.142609999999</v>
      </c>
      <c r="G17" s="11">
        <f t="shared" si="2"/>
        <v>7903.1442500000012</v>
      </c>
      <c r="H17" s="11">
        <f t="shared" si="2"/>
        <v>6926.5887920201822</v>
      </c>
      <c r="I17" s="11">
        <f t="shared" si="2"/>
        <v>9439.7838984875671</v>
      </c>
      <c r="J17" s="11">
        <f t="shared" si="2"/>
        <v>12685.073686002335</v>
      </c>
      <c r="K17" s="11">
        <f t="shared" si="2"/>
        <v>14120.815044498613</v>
      </c>
      <c r="L17" s="11">
        <f t="shared" si="2"/>
        <v>14572.852633846647</v>
      </c>
      <c r="M17" s="11">
        <f t="shared" si="2"/>
        <v>14943.058803771582</v>
      </c>
      <c r="N17" s="11">
        <f>N8-N15</f>
        <v>15133.552808607659</v>
      </c>
      <c r="P17" s="11">
        <f>P8-P15</f>
        <v>107671.97735723466</v>
      </c>
    </row>
    <row r="18" spans="1:19" ht="5.25" customHeight="1" thickBot="1">
      <c r="A18" s="62"/>
    </row>
    <row r="19" spans="1:19" ht="15" thickBot="1">
      <c r="A19" s="43" t="s">
        <v>255</v>
      </c>
      <c r="C19" s="3"/>
      <c r="E19" s="3"/>
      <c r="F19" s="3"/>
      <c r="G19" s="3"/>
      <c r="H19" s="3"/>
      <c r="I19" s="3"/>
      <c r="J19" s="3"/>
      <c r="K19" s="3"/>
      <c r="L19" s="3"/>
      <c r="M19" s="3"/>
      <c r="N19" s="3"/>
      <c r="O19" s="83"/>
      <c r="P19" s="3"/>
    </row>
    <row r="20" spans="1:19" ht="15" thickBot="1">
      <c r="A20" s="4" t="s">
        <v>256</v>
      </c>
      <c r="C20" s="91">
        <v>421</v>
      </c>
      <c r="E20" s="91">
        <v>0</v>
      </c>
      <c r="F20" s="91">
        <v>0</v>
      </c>
      <c r="G20" s="91">
        <v>0</v>
      </c>
      <c r="H20" s="91">
        <v>0</v>
      </c>
      <c r="I20" s="91">
        <v>0</v>
      </c>
      <c r="J20" s="91">
        <v>0</v>
      </c>
      <c r="K20" s="91">
        <v>0</v>
      </c>
      <c r="L20" s="91">
        <v>0</v>
      </c>
      <c r="M20" s="91">
        <v>0</v>
      </c>
      <c r="N20" s="91">
        <v>0</v>
      </c>
      <c r="P20" s="84">
        <f>SUM(E20:N20)</f>
        <v>0</v>
      </c>
      <c r="S20" s="1" t="s">
        <v>98</v>
      </c>
    </row>
    <row r="21" spans="1:19" ht="15" thickBot="1">
      <c r="A21" s="4" t="s">
        <v>257</v>
      </c>
      <c r="C21" s="91">
        <v>279.61924999999997</v>
      </c>
      <c r="E21" s="91">
        <v>306</v>
      </c>
      <c r="F21" s="91">
        <v>302.39</v>
      </c>
      <c r="G21" s="91">
        <v>305.39</v>
      </c>
      <c r="H21" s="91">
        <v>307.39</v>
      </c>
      <c r="I21" s="91">
        <v>309.39</v>
      </c>
      <c r="J21" s="91">
        <v>310.39</v>
      </c>
      <c r="K21" s="91">
        <v>311.39</v>
      </c>
      <c r="L21" s="91">
        <v>313.39</v>
      </c>
      <c r="M21" s="91">
        <v>314.39</v>
      </c>
      <c r="N21" s="91">
        <v>316.39</v>
      </c>
      <c r="P21" s="84">
        <f>SUM(E21:N21)</f>
        <v>3096.5099999999993</v>
      </c>
      <c r="S21" s="1" t="s">
        <v>98</v>
      </c>
    </row>
    <row r="22" spans="1:19" ht="15" thickBot="1">
      <c r="A22" s="4" t="s">
        <v>258</v>
      </c>
      <c r="C22" s="91">
        <v>4335.04</v>
      </c>
      <c r="E22" s="91">
        <v>18786.361089999999</v>
      </c>
      <c r="F22" s="91">
        <v>15292.63005</v>
      </c>
      <c r="G22" s="91">
        <v>13175.494419999999</v>
      </c>
      <c r="H22" s="91">
        <v>14475.631417830358</v>
      </c>
      <c r="I22" s="91">
        <v>10962.752810012429</v>
      </c>
      <c r="J22" s="91">
        <v>4216.9651363039029</v>
      </c>
      <c r="K22" s="91">
        <v>3319.4331791227446</v>
      </c>
      <c r="L22" s="91">
        <v>2547.9132728004283</v>
      </c>
      <c r="M22" s="91">
        <v>2422.3061402897088</v>
      </c>
      <c r="N22" s="91">
        <v>2300.7016010826392</v>
      </c>
      <c r="P22" s="84">
        <f>SUM(E22:N22)</f>
        <v>87500.18911744222</v>
      </c>
      <c r="S22" s="1" t="s">
        <v>98</v>
      </c>
    </row>
    <row r="23" spans="1:19" ht="15" thickBot="1">
      <c r="A23" s="4" t="s">
        <v>259</v>
      </c>
      <c r="C23" s="91">
        <v>0</v>
      </c>
      <c r="E23" s="91">
        <v>0</v>
      </c>
      <c r="F23" s="91">
        <v>0</v>
      </c>
      <c r="G23" s="91">
        <v>0</v>
      </c>
      <c r="H23" s="91">
        <v>0</v>
      </c>
      <c r="I23" s="91">
        <v>0</v>
      </c>
      <c r="J23" s="91">
        <v>0</v>
      </c>
      <c r="K23" s="91">
        <v>0</v>
      </c>
      <c r="L23" s="91">
        <v>0</v>
      </c>
      <c r="M23" s="91">
        <v>0</v>
      </c>
      <c r="N23" s="91">
        <v>0</v>
      </c>
      <c r="P23" s="84">
        <f>SUM(E23:N23)</f>
        <v>0</v>
      </c>
      <c r="S23" s="1" t="s">
        <v>98</v>
      </c>
    </row>
    <row r="24" spans="1:19" ht="15" thickBot="1">
      <c r="A24" s="4" t="s">
        <v>260</v>
      </c>
      <c r="C24" s="91">
        <v>0</v>
      </c>
      <c r="E24" s="91">
        <v>0</v>
      </c>
      <c r="F24" s="91">
        <v>0</v>
      </c>
      <c r="G24" s="91">
        <v>0</v>
      </c>
      <c r="H24" s="91">
        <v>0</v>
      </c>
      <c r="I24" s="91">
        <v>0</v>
      </c>
      <c r="J24" s="91">
        <v>0</v>
      </c>
      <c r="K24" s="91">
        <v>0</v>
      </c>
      <c r="L24" s="91">
        <v>0</v>
      </c>
      <c r="M24" s="91">
        <v>0</v>
      </c>
      <c r="N24" s="91">
        <v>0</v>
      </c>
      <c r="P24" s="84">
        <f>SUM(E24:N24)</f>
        <v>0</v>
      </c>
      <c r="S24" s="1" t="s">
        <v>98</v>
      </c>
    </row>
    <row r="25" spans="1:19" ht="15" thickBot="1">
      <c r="A25" s="85" t="s">
        <v>261</v>
      </c>
      <c r="C25" s="11">
        <f>SUM(C20:C24)</f>
        <v>5035.6592499999997</v>
      </c>
      <c r="E25" s="11">
        <f t="shared" ref="E25:M25" si="3">SUM(E20:E24)</f>
        <v>19092.361089999999</v>
      </c>
      <c r="F25" s="11">
        <f t="shared" si="3"/>
        <v>15595.020049999999</v>
      </c>
      <c r="G25" s="11">
        <f t="shared" si="3"/>
        <v>13480.884419999998</v>
      </c>
      <c r="H25" s="11">
        <f t="shared" si="3"/>
        <v>14783.021417830358</v>
      </c>
      <c r="I25" s="11">
        <f t="shared" si="3"/>
        <v>11272.142810012429</v>
      </c>
      <c r="J25" s="11">
        <f t="shared" si="3"/>
        <v>4527.3551363039032</v>
      </c>
      <c r="K25" s="11">
        <f t="shared" si="3"/>
        <v>3630.8231791227445</v>
      </c>
      <c r="L25" s="11">
        <f t="shared" si="3"/>
        <v>2861.3032728004282</v>
      </c>
      <c r="M25" s="11">
        <f t="shared" si="3"/>
        <v>2736.6961402897086</v>
      </c>
      <c r="N25" s="11">
        <f>SUM(N20:N24)</f>
        <v>2617.091601082639</v>
      </c>
      <c r="P25" s="11">
        <f>SUM(P20:P24)</f>
        <v>90596.699117442215</v>
      </c>
    </row>
    <row r="26" spans="1:19" ht="5.25" customHeight="1" thickBot="1">
      <c r="A26" s="62"/>
    </row>
    <row r="27" spans="1:19" ht="15" thickBot="1">
      <c r="A27" s="43" t="s">
        <v>262</v>
      </c>
      <c r="C27" s="3"/>
      <c r="E27" s="3"/>
      <c r="F27" s="3"/>
      <c r="G27" s="3"/>
      <c r="H27" s="3"/>
      <c r="I27" s="3"/>
      <c r="J27" s="3"/>
      <c r="K27" s="3"/>
      <c r="L27" s="3"/>
      <c r="M27" s="3"/>
      <c r="N27" s="3"/>
      <c r="O27" s="83"/>
      <c r="P27" s="3"/>
    </row>
    <row r="28" spans="1:19" ht="15" thickBot="1">
      <c r="A28" s="4" t="s">
        <v>212</v>
      </c>
      <c r="C28" s="91">
        <v>1069</v>
      </c>
      <c r="E28" s="91">
        <v>531.94702000000007</v>
      </c>
      <c r="F28" s="90">
        <v>3004.0360300000002</v>
      </c>
      <c r="G28" s="90">
        <v>556.32725000000005</v>
      </c>
      <c r="H28" s="90">
        <v>2021.50289</v>
      </c>
      <c r="I28" s="91">
        <v>608.59825000000001</v>
      </c>
      <c r="J28" s="91">
        <v>1687.7638972688276</v>
      </c>
      <c r="K28" s="91">
        <v>630.94034873334419</v>
      </c>
      <c r="L28" s="91">
        <v>1748.8827728473095</v>
      </c>
      <c r="M28" s="126">
        <v>92.394062744066716</v>
      </c>
      <c r="N28" s="91">
        <v>94.176296340322452</v>
      </c>
      <c r="P28" s="84">
        <f>SUM(E28:N28)</f>
        <v>10976.568817933869</v>
      </c>
      <c r="S28" s="1" t="s">
        <v>98</v>
      </c>
    </row>
    <row r="29" spans="1:19" ht="15" thickBot="1">
      <c r="A29" s="4" t="s">
        <v>213</v>
      </c>
      <c r="C29" s="91">
        <v>2363</v>
      </c>
      <c r="E29" s="91">
        <v>6424.5479999999998</v>
      </c>
      <c r="F29" s="90">
        <v>6993.2111999999997</v>
      </c>
      <c r="G29" s="90">
        <v>10867.511549999999</v>
      </c>
      <c r="H29" s="90">
        <v>9713.3278595000011</v>
      </c>
      <c r="I29" s="91">
        <v>8947.2402585</v>
      </c>
      <c r="J29" s="90">
        <v>4905.4624776265773</v>
      </c>
      <c r="K29" s="91">
        <v>5304.8937622939702</v>
      </c>
      <c r="L29" s="91">
        <v>2762.0503775131915</v>
      </c>
      <c r="M29" s="91">
        <v>2871.9252671007102</v>
      </c>
      <c r="N29" s="91">
        <v>2491.7909016788249</v>
      </c>
      <c r="P29" s="84">
        <f>SUM(E29:N29)</f>
        <v>61281.961654213279</v>
      </c>
      <c r="S29" s="1" t="s">
        <v>98</v>
      </c>
    </row>
    <row r="30" spans="1:19" ht="15" thickBot="1">
      <c r="A30" s="4" t="s">
        <v>214</v>
      </c>
      <c r="C30" s="91">
        <v>8593.7803500000009</v>
      </c>
      <c r="E30" s="91">
        <v>20227.90135</v>
      </c>
      <c r="F30" s="90">
        <v>20006.14128</v>
      </c>
      <c r="G30" s="90">
        <v>14659.618589999998</v>
      </c>
      <c r="H30" s="90">
        <v>18225.337390000001</v>
      </c>
      <c r="I30" s="91">
        <v>11041.326730000001</v>
      </c>
      <c r="J30" s="91">
        <v>12448.520047410828</v>
      </c>
      <c r="K30" s="91">
        <v>16583.420310373796</v>
      </c>
      <c r="L30" s="91">
        <v>11737.045640492515</v>
      </c>
      <c r="M30" s="91">
        <v>15614.396411413965</v>
      </c>
      <c r="N30" s="91">
        <v>12021.616910713939</v>
      </c>
      <c r="P30" s="84">
        <f>SUM(E30:N30)</f>
        <v>152565.32466040502</v>
      </c>
      <c r="S30" s="1" t="s">
        <v>98</v>
      </c>
    </row>
    <row r="31" spans="1:19" ht="15" thickBot="1">
      <c r="A31" s="4" t="s">
        <v>263</v>
      </c>
      <c r="C31" s="91">
        <v>-1855.2384716000013</v>
      </c>
      <c r="E31" s="91">
        <v>-2769.1275400000004</v>
      </c>
      <c r="F31" s="91">
        <v>-7784.4160000000011</v>
      </c>
      <c r="G31" s="91">
        <v>-4699.9038700000001</v>
      </c>
      <c r="H31" s="91">
        <v>-10232.30256</v>
      </c>
      <c r="I31" s="91">
        <v>114.64635999999996</v>
      </c>
      <c r="J31" s="91">
        <v>-1829.3176799999997</v>
      </c>
      <c r="K31" s="91">
        <v>-4768.0590400000001</v>
      </c>
      <c r="L31" s="91">
        <v>1185.3101000000001</v>
      </c>
      <c r="M31" s="91">
        <v>-900.41169000000014</v>
      </c>
      <c r="N31" s="91">
        <v>3141.3379400000003</v>
      </c>
      <c r="P31" s="84">
        <f>SUM(E31:N31)</f>
        <v>-28542.243980000007</v>
      </c>
      <c r="S31" s="1" t="s">
        <v>98</v>
      </c>
    </row>
    <row r="32" spans="1:19" ht="15" thickBot="1">
      <c r="A32" s="4" t="s">
        <v>264</v>
      </c>
      <c r="C32" s="91">
        <v>-112</v>
      </c>
      <c r="E32" s="91">
        <v>0</v>
      </c>
      <c r="F32" s="91">
        <v>0</v>
      </c>
      <c r="G32" s="91">
        <v>0</v>
      </c>
      <c r="H32" s="91">
        <v>1982.1295403505433</v>
      </c>
      <c r="I32" s="91">
        <v>0</v>
      </c>
      <c r="J32" s="91">
        <v>0</v>
      </c>
      <c r="K32" s="91">
        <v>0</v>
      </c>
      <c r="L32" s="91">
        <v>0</v>
      </c>
      <c r="M32" s="91">
        <v>0</v>
      </c>
      <c r="N32" s="91">
        <v>0</v>
      </c>
      <c r="P32" s="84">
        <f>SUM(E32:N32)</f>
        <v>1982.1295403505433</v>
      </c>
      <c r="S32" s="1" t="s">
        <v>98</v>
      </c>
    </row>
    <row r="33" spans="1:16" ht="15" thickBot="1">
      <c r="A33" s="85" t="s">
        <v>265</v>
      </c>
      <c r="C33" s="11">
        <f>SUM(C28:C32)</f>
        <v>10058.541878399999</v>
      </c>
      <c r="E33" s="11">
        <f t="shared" ref="E33:M33" si="4">SUM(E28:E32)</f>
        <v>24415.268830000001</v>
      </c>
      <c r="F33" s="11">
        <f t="shared" si="4"/>
        <v>22218.97251</v>
      </c>
      <c r="G33" s="11">
        <f t="shared" si="4"/>
        <v>21383.553519999994</v>
      </c>
      <c r="H33" s="11">
        <f t="shared" si="4"/>
        <v>21709.995119850544</v>
      </c>
      <c r="I33" s="11">
        <f t="shared" si="4"/>
        <v>20711.8115985</v>
      </c>
      <c r="J33" s="11">
        <f t="shared" si="4"/>
        <v>17212.428742306234</v>
      </c>
      <c r="K33" s="11">
        <f t="shared" si="4"/>
        <v>17751.19538140111</v>
      </c>
      <c r="L33" s="11">
        <f t="shared" si="4"/>
        <v>17433.288890853015</v>
      </c>
      <c r="M33" s="11">
        <f t="shared" si="4"/>
        <v>17678.304051258739</v>
      </c>
      <c r="N33" s="11">
        <f>SUM(N28:N32)</f>
        <v>17748.922048733086</v>
      </c>
      <c r="P33" s="11">
        <f>SUM(P28:P32)</f>
        <v>198263.74069290271</v>
      </c>
    </row>
    <row r="34" spans="1:16" ht="5.25" customHeight="1" thickBot="1">
      <c r="A34" s="87"/>
    </row>
    <row r="35" spans="1:16" ht="15" thickBot="1">
      <c r="A35" s="85" t="s">
        <v>266</v>
      </c>
      <c r="C35" s="11">
        <f>C25-C33</f>
        <v>-5022.8826283999997</v>
      </c>
      <c r="E35" s="11">
        <f t="shared" ref="E35:M35" si="5">E25-E33</f>
        <v>-5322.9077400000024</v>
      </c>
      <c r="F35" s="11">
        <f t="shared" si="5"/>
        <v>-6623.9524600000004</v>
      </c>
      <c r="G35" s="11">
        <f t="shared" si="5"/>
        <v>-7902.6690999999955</v>
      </c>
      <c r="H35" s="11">
        <f t="shared" si="5"/>
        <v>-6926.9737020201865</v>
      </c>
      <c r="I35" s="11">
        <f t="shared" si="5"/>
        <v>-9439.6687884875719</v>
      </c>
      <c r="J35" s="11">
        <f t="shared" si="5"/>
        <v>-12685.07360600233</v>
      </c>
      <c r="K35" s="11">
        <f t="shared" si="5"/>
        <v>-14120.372202278366</v>
      </c>
      <c r="L35" s="11">
        <f t="shared" si="5"/>
        <v>-14571.985618052586</v>
      </c>
      <c r="M35" s="11">
        <f t="shared" si="5"/>
        <v>-14941.607910969031</v>
      </c>
      <c r="N35" s="11">
        <f>N25-N33</f>
        <v>-15131.830447650447</v>
      </c>
      <c r="P35" s="11">
        <f>P25-P33</f>
        <v>-107667.04157546049</v>
      </c>
    </row>
    <row r="36" spans="1:16" ht="5.25" customHeight="1" thickBot="1">
      <c r="A36" s="88"/>
    </row>
    <row r="37" spans="1:16" ht="15" thickBot="1">
      <c r="A37" s="85" t="s">
        <v>267</v>
      </c>
      <c r="C37" s="11">
        <f>C17+C35</f>
        <v>-400.00000000000455</v>
      </c>
      <c r="E37" s="11">
        <f t="shared" ref="E37:M37" si="6">E17+E35</f>
        <v>5.709000000024389E-2</v>
      </c>
      <c r="F37" s="11">
        <f t="shared" si="6"/>
        <v>0.19014999999853899</v>
      </c>
      <c r="G37" s="11">
        <f t="shared" si="6"/>
        <v>0.47515000000566943</v>
      </c>
      <c r="H37" s="11">
        <f t="shared" si="6"/>
        <v>-0.38491000000431086</v>
      </c>
      <c r="I37" s="11">
        <f t="shared" si="6"/>
        <v>0.1151099999951839</v>
      </c>
      <c r="J37" s="11">
        <f t="shared" si="6"/>
        <v>8.0000005254987627E-5</v>
      </c>
      <c r="K37" s="11">
        <f t="shared" si="6"/>
        <v>0.4428422202472575</v>
      </c>
      <c r="L37" s="11">
        <f t="shared" si="6"/>
        <v>0.86701579406144447</v>
      </c>
      <c r="M37" s="11">
        <f t="shared" si="6"/>
        <v>1.450892802551607</v>
      </c>
      <c r="N37" s="11">
        <f>N17+N35</f>
        <v>1.722360957212004</v>
      </c>
      <c r="P37" s="11">
        <f>P17+P35</f>
        <v>4.9357817741692998</v>
      </c>
    </row>
    <row r="38" spans="1:16" ht="15" thickBot="1"/>
    <row r="39" spans="1:16" ht="15" thickBot="1">
      <c r="A39" s="81" t="s">
        <v>268</v>
      </c>
      <c r="B39" s="82"/>
      <c r="C39" s="82" t="s">
        <v>96</v>
      </c>
      <c r="D39" s="82"/>
      <c r="E39" s="82" t="s">
        <v>86</v>
      </c>
      <c r="F39" s="82" t="s">
        <v>87</v>
      </c>
      <c r="G39" s="82" t="s">
        <v>88</v>
      </c>
      <c r="H39" s="82" t="s">
        <v>89</v>
      </c>
      <c r="I39" s="82" t="s">
        <v>90</v>
      </c>
      <c r="J39" s="82" t="s">
        <v>91</v>
      </c>
      <c r="K39" s="82" t="s">
        <v>92</v>
      </c>
      <c r="L39" s="82" t="s">
        <v>93</v>
      </c>
      <c r="M39" s="82" t="s">
        <v>94</v>
      </c>
      <c r="N39" s="82" t="s">
        <v>95</v>
      </c>
      <c r="O39" s="83"/>
    </row>
    <row r="40" spans="1:16" ht="15" thickBot="1">
      <c r="A40" s="4" t="s">
        <v>193</v>
      </c>
      <c r="C40" s="54">
        <f>C$8</f>
        <v>17929.464238399996</v>
      </c>
      <c r="E40" s="54">
        <f t="shared" ref="E40:N40" si="7">E$8</f>
        <v>20797.696910000002</v>
      </c>
      <c r="F40" s="54">
        <f t="shared" si="7"/>
        <v>23021.434570000001</v>
      </c>
      <c r="G40" s="54">
        <f t="shared" si="7"/>
        <v>23899.080610000001</v>
      </c>
      <c r="H40" s="54">
        <f t="shared" si="7"/>
        <v>27043.512278723989</v>
      </c>
      <c r="I40" s="54">
        <f t="shared" si="7"/>
        <v>31459.001688437256</v>
      </c>
      <c r="J40" s="54">
        <f t="shared" si="7"/>
        <v>34286.25086665804</v>
      </c>
      <c r="K40" s="54">
        <f t="shared" si="7"/>
        <v>35742.642467894511</v>
      </c>
      <c r="L40" s="54">
        <f t="shared" si="7"/>
        <v>36177.843153947659</v>
      </c>
      <c r="M40" s="54">
        <f t="shared" si="7"/>
        <v>36600.32060074203</v>
      </c>
      <c r="N40" s="54">
        <f t="shared" si="7"/>
        <v>36911.985514696978</v>
      </c>
    </row>
    <row r="41" spans="1:16" ht="15" thickBot="1">
      <c r="A41" s="4" t="s">
        <v>269</v>
      </c>
      <c r="C41" s="54">
        <f>C$20+C$21+C$23+C$24</f>
        <v>700.61924999999997</v>
      </c>
      <c r="E41" s="54">
        <f t="shared" ref="E41:N41" si="8">E$20+E$21+E$23+E$24</f>
        <v>306</v>
      </c>
      <c r="F41" s="54">
        <f t="shared" si="8"/>
        <v>302.39</v>
      </c>
      <c r="G41" s="54">
        <f t="shared" si="8"/>
        <v>305.39</v>
      </c>
      <c r="H41" s="54">
        <f t="shared" si="8"/>
        <v>307.39</v>
      </c>
      <c r="I41" s="54">
        <f t="shared" si="8"/>
        <v>309.39</v>
      </c>
      <c r="J41" s="54">
        <f t="shared" si="8"/>
        <v>310.39</v>
      </c>
      <c r="K41" s="54">
        <f t="shared" si="8"/>
        <v>311.39</v>
      </c>
      <c r="L41" s="54">
        <f t="shared" si="8"/>
        <v>313.39</v>
      </c>
      <c r="M41" s="54">
        <f t="shared" si="8"/>
        <v>314.39</v>
      </c>
      <c r="N41" s="54">
        <f t="shared" si="8"/>
        <v>316.39</v>
      </c>
    </row>
    <row r="42" spans="1:16" ht="15" thickBot="1">
      <c r="A42" s="85" t="s">
        <v>270</v>
      </c>
      <c r="C42" s="10">
        <f>SUM(C40:C41)</f>
        <v>18630.083488399996</v>
      </c>
      <c r="E42" s="11">
        <f t="shared" ref="E42:N42" si="9">SUM(E40:E41)</f>
        <v>21103.696910000002</v>
      </c>
      <c r="F42" s="10">
        <f t="shared" si="9"/>
        <v>23323.824570000001</v>
      </c>
      <c r="G42" s="11">
        <f t="shared" si="9"/>
        <v>24204.47061</v>
      </c>
      <c r="H42" s="11">
        <f t="shared" si="9"/>
        <v>27350.902278723988</v>
      </c>
      <c r="I42" s="11">
        <f t="shared" si="9"/>
        <v>31768.391688437256</v>
      </c>
      <c r="J42" s="11">
        <f t="shared" si="9"/>
        <v>34596.640866658039</v>
      </c>
      <c r="K42" s="11">
        <f t="shared" si="9"/>
        <v>36054.032467894511</v>
      </c>
      <c r="L42" s="11">
        <f t="shared" si="9"/>
        <v>36491.233153947658</v>
      </c>
      <c r="M42" s="11">
        <f t="shared" si="9"/>
        <v>36914.71060074203</v>
      </c>
      <c r="N42" s="11">
        <f t="shared" si="9"/>
        <v>37228.375514696978</v>
      </c>
    </row>
    <row r="43" spans="1:16" ht="5.25" customHeight="1" thickBot="1">
      <c r="A43" s="4"/>
      <c r="C43" s="89"/>
      <c r="E43" s="89"/>
      <c r="F43" s="89"/>
      <c r="G43" s="89"/>
      <c r="H43" s="89"/>
      <c r="I43" s="89"/>
      <c r="J43" s="89"/>
      <c r="K43" s="89"/>
      <c r="L43" s="89"/>
      <c r="M43" s="89"/>
      <c r="N43" s="89"/>
    </row>
    <row r="44" spans="1:16" ht="15" thickBot="1">
      <c r="A44" s="4" t="s">
        <v>271</v>
      </c>
      <c r="C44" s="54">
        <f>C$11+C$14</f>
        <v>9366.4505900000004</v>
      </c>
      <c r="E44" s="54">
        <f t="shared" ref="E44:N44" si="10">E$11+E$14</f>
        <v>11049.96602</v>
      </c>
      <c r="F44" s="54">
        <f t="shared" si="10"/>
        <v>11491.98446</v>
      </c>
      <c r="G44" s="54">
        <f t="shared" si="10"/>
        <v>10310.85442</v>
      </c>
      <c r="H44" s="54">
        <f t="shared" si="10"/>
        <v>11060.789226043373</v>
      </c>
      <c r="I44" s="54">
        <f t="shared" si="10"/>
        <v>12051.516431194457</v>
      </c>
      <c r="J44" s="54">
        <f t="shared" si="10"/>
        <v>11367.200613698409</v>
      </c>
      <c r="K44" s="54">
        <f t="shared" si="10"/>
        <v>11571.348393206537</v>
      </c>
      <c r="L44" s="54">
        <f t="shared" si="10"/>
        <v>11641.297584335023</v>
      </c>
      <c r="M44" s="54">
        <f t="shared" si="10"/>
        <v>11757.898140354071</v>
      </c>
      <c r="N44" s="54">
        <f t="shared" si="10"/>
        <v>11907.387731633795</v>
      </c>
    </row>
    <row r="45" spans="1:16" ht="15" thickBot="1">
      <c r="A45" s="4" t="s">
        <v>250</v>
      </c>
      <c r="C45" s="54">
        <f>C$12</f>
        <v>1151.98343</v>
      </c>
      <c r="E45" s="54">
        <f t="shared" ref="E45:N45" si="11">E$12</f>
        <v>1383.5149999999999</v>
      </c>
      <c r="F45" s="54">
        <f t="shared" si="11"/>
        <v>1626.19677</v>
      </c>
      <c r="G45" s="54">
        <f t="shared" si="11"/>
        <v>2400.8092200000001</v>
      </c>
      <c r="H45" s="54">
        <f t="shared" si="11"/>
        <v>5901.5713506604325</v>
      </c>
      <c r="I45" s="54">
        <f t="shared" si="11"/>
        <v>6730.9125487552337</v>
      </c>
      <c r="J45" s="54">
        <f t="shared" si="11"/>
        <v>6882.6611669572949</v>
      </c>
      <c r="K45" s="54">
        <f t="shared" si="11"/>
        <v>6663.248210189362</v>
      </c>
      <c r="L45" s="54">
        <f t="shared" si="11"/>
        <v>6481.5234857659852</v>
      </c>
      <c r="M45" s="54">
        <f t="shared" si="11"/>
        <v>6329.9030166163775</v>
      </c>
      <c r="N45" s="54">
        <f t="shared" si="11"/>
        <v>6248.112314455524</v>
      </c>
    </row>
    <row r="46" spans="1:16" ht="15" thickBot="1">
      <c r="A46" s="4" t="s">
        <v>272</v>
      </c>
      <c r="C46" s="54">
        <f>C$13</f>
        <v>2788.14759</v>
      </c>
      <c r="E46" s="54">
        <f t="shared" ref="E46:N46" si="12">E$13</f>
        <v>3041.2510600000001</v>
      </c>
      <c r="F46" s="54">
        <f t="shared" si="12"/>
        <v>3279.1107300000003</v>
      </c>
      <c r="G46" s="54">
        <f t="shared" si="12"/>
        <v>3284.2727199999999</v>
      </c>
      <c r="H46" s="54">
        <f t="shared" si="12"/>
        <v>3154.5629100000001</v>
      </c>
      <c r="I46" s="54">
        <f t="shared" si="12"/>
        <v>3236.78881</v>
      </c>
      <c r="J46" s="54">
        <f t="shared" si="12"/>
        <v>3351.3154</v>
      </c>
      <c r="K46" s="54">
        <f t="shared" si="12"/>
        <v>3387.2308199999998</v>
      </c>
      <c r="L46" s="54">
        <f t="shared" si="12"/>
        <v>3482.1694499999994</v>
      </c>
      <c r="M46" s="54">
        <f t="shared" si="12"/>
        <v>3569.4606399999998</v>
      </c>
      <c r="N46" s="54">
        <f t="shared" si="12"/>
        <v>3622.9326599999999</v>
      </c>
    </row>
    <row r="47" spans="1:16" ht="15" thickBot="1">
      <c r="A47" s="4" t="s">
        <v>273</v>
      </c>
      <c r="C47" s="54">
        <f>Input!N18</f>
        <v>0</v>
      </c>
      <c r="E47" s="54">
        <f>Input!C$18</f>
        <v>7531.1767099999997</v>
      </c>
      <c r="F47" s="54">
        <f>Input!D$18</f>
        <v>7722.27466</v>
      </c>
      <c r="G47" s="54">
        <f>Input!E$18</f>
        <v>8659.9561699999995</v>
      </c>
      <c r="H47" s="54">
        <f>Input!F$18</f>
        <v>8939.5127200000006</v>
      </c>
      <c r="I47" s="54">
        <f>Input!G$18</f>
        <v>9651.1843700000009</v>
      </c>
      <c r="J47" s="54">
        <f>Input!H$18</f>
        <v>10258.200929999999</v>
      </c>
      <c r="K47" s="54">
        <f>Input!I$18</f>
        <v>10788.642095301435</v>
      </c>
      <c r="L47" s="54">
        <f>Input!J$18</f>
        <v>11195.868213458481</v>
      </c>
      <c r="M47" s="54">
        <f>Input!K$18</f>
        <v>11940.150545710467</v>
      </c>
      <c r="N47" s="54">
        <f>Input!L$18</f>
        <v>12112.855832407244</v>
      </c>
    </row>
    <row r="48" spans="1:16" ht="15" thickBot="1">
      <c r="A48" s="85" t="s">
        <v>274</v>
      </c>
      <c r="C48" s="10">
        <f>SUM(C44:C47)</f>
        <v>13306.581610000001</v>
      </c>
      <c r="E48" s="10">
        <f t="shared" ref="E48:N48" si="13">SUM(E44:E47)</f>
        <v>23005.908790000001</v>
      </c>
      <c r="F48" s="11">
        <f t="shared" si="13"/>
        <v>24119.566620000001</v>
      </c>
      <c r="G48" s="11">
        <f t="shared" si="13"/>
        <v>24655.892529999997</v>
      </c>
      <c r="H48" s="11">
        <f t="shared" si="13"/>
        <v>29056.436206703809</v>
      </c>
      <c r="I48" s="11">
        <f t="shared" si="13"/>
        <v>31670.402159949692</v>
      </c>
      <c r="J48" s="11">
        <f t="shared" si="13"/>
        <v>31859.378110655703</v>
      </c>
      <c r="K48" s="11">
        <f t="shared" si="13"/>
        <v>32410.469518697333</v>
      </c>
      <c r="L48" s="11">
        <f t="shared" si="13"/>
        <v>32800.858733559493</v>
      </c>
      <c r="M48" s="11">
        <f t="shared" si="13"/>
        <v>33597.412342680916</v>
      </c>
      <c r="N48" s="11">
        <f t="shared" si="13"/>
        <v>33891.288538496563</v>
      </c>
    </row>
    <row r="49" spans="1:15" ht="5.25" customHeight="1" thickBot="1">
      <c r="A49" s="4"/>
      <c r="C49" s="54"/>
      <c r="E49" s="89"/>
      <c r="F49" s="89"/>
      <c r="G49" s="89"/>
      <c r="H49" s="89"/>
      <c r="I49" s="89"/>
      <c r="J49" s="89"/>
      <c r="K49" s="89"/>
      <c r="L49" s="89"/>
      <c r="M49" s="89"/>
      <c r="N49" s="89"/>
    </row>
    <row r="50" spans="1:15" ht="15" thickBot="1">
      <c r="A50" s="85" t="s">
        <v>275</v>
      </c>
      <c r="C50" s="10">
        <f>C42-C48</f>
        <v>5323.5018783999949</v>
      </c>
      <c r="E50" s="11">
        <f t="shared" ref="E50:N50" si="14">E42-E48</f>
        <v>-1902.2118799999989</v>
      </c>
      <c r="F50" s="11">
        <f t="shared" si="14"/>
        <v>-795.74205000000075</v>
      </c>
      <c r="G50" s="11">
        <f t="shared" si="14"/>
        <v>-451.42191999999704</v>
      </c>
      <c r="H50" s="11">
        <f t="shared" si="14"/>
        <v>-1705.5339279798209</v>
      </c>
      <c r="I50" s="10">
        <f t="shared" si="14"/>
        <v>97.989528487563803</v>
      </c>
      <c r="J50" s="11">
        <f t="shared" si="14"/>
        <v>2737.2627560023357</v>
      </c>
      <c r="K50" s="11">
        <f t="shared" si="14"/>
        <v>3643.5629491971777</v>
      </c>
      <c r="L50" s="11">
        <f t="shared" si="14"/>
        <v>3690.3744203881652</v>
      </c>
      <c r="M50" s="11">
        <f t="shared" si="14"/>
        <v>3317.2982580611133</v>
      </c>
      <c r="N50" s="10">
        <f t="shared" si="14"/>
        <v>3337.0869762004149</v>
      </c>
    </row>
    <row r="51" spans="1:15" ht="5.25" customHeight="1" thickBot="1">
      <c r="A51" s="4"/>
      <c r="C51" s="54"/>
      <c r="E51" s="89"/>
      <c r="F51" s="89"/>
      <c r="G51" s="89"/>
      <c r="H51" s="89"/>
      <c r="I51" s="89"/>
      <c r="J51" s="89"/>
      <c r="K51" s="89"/>
      <c r="L51" s="89"/>
      <c r="M51" s="89"/>
      <c r="N51" s="89"/>
    </row>
    <row r="52" spans="1:15" ht="15" thickBot="1">
      <c r="A52" s="4" t="s">
        <v>276</v>
      </c>
      <c r="C52" s="54">
        <f>Input!N23</f>
        <v>0</v>
      </c>
      <c r="E52" s="54">
        <f>Input!C$23</f>
        <v>3788.3704880000032</v>
      </c>
      <c r="F52" s="54">
        <f>Input!D$23</f>
        <v>5124.8397822479992</v>
      </c>
      <c r="G52" s="54">
        <f>Input!E$23</f>
        <v>7926.4980756829646</v>
      </c>
      <c r="H52" s="54">
        <f>Input!F$23</f>
        <v>5927.9579763994843</v>
      </c>
      <c r="I52" s="54">
        <f>Input!G$23</f>
        <v>10157.082769229872</v>
      </c>
      <c r="J52" s="54">
        <f>Input!H$23</f>
        <v>7009.1967576288953</v>
      </c>
      <c r="K52" s="54">
        <f>Input!I$23</f>
        <v>10779.285526054835</v>
      </c>
      <c r="L52" s="54">
        <f>Input!J$23</f>
        <v>7385.4131357463993</v>
      </c>
      <c r="M52" s="54">
        <f>Input!K$23</f>
        <v>12044.620815171929</v>
      </c>
      <c r="N52" s="54">
        <f>Input!L$23</f>
        <v>7822.0131975781096</v>
      </c>
    </row>
    <row r="53" spans="1:15" ht="15" thickBot="1">
      <c r="A53" s="85" t="s">
        <v>277</v>
      </c>
      <c r="C53" s="10">
        <f>C50+C52</f>
        <v>5323.5018783999949</v>
      </c>
      <c r="E53" s="10">
        <f t="shared" ref="E53:N53" si="15">E50+E52</f>
        <v>1886.1586080000043</v>
      </c>
      <c r="F53" s="10">
        <f t="shared" si="15"/>
        <v>4329.0977322479985</v>
      </c>
      <c r="G53" s="10">
        <f t="shared" si="15"/>
        <v>7475.0761556829675</v>
      </c>
      <c r="H53" s="10">
        <f t="shared" si="15"/>
        <v>4222.4240484196634</v>
      </c>
      <c r="I53" s="10">
        <f t="shared" si="15"/>
        <v>10255.072297717436</v>
      </c>
      <c r="J53" s="10">
        <f t="shared" si="15"/>
        <v>9746.4595136312309</v>
      </c>
      <c r="K53" s="10">
        <f t="shared" si="15"/>
        <v>14422.848475252013</v>
      </c>
      <c r="L53" s="10">
        <f t="shared" si="15"/>
        <v>11075.787556134565</v>
      </c>
      <c r="M53" s="10">
        <f t="shared" si="15"/>
        <v>15361.919073233043</v>
      </c>
      <c r="N53" s="10">
        <f t="shared" si="15"/>
        <v>11159.100173778525</v>
      </c>
    </row>
    <row r="54" spans="1:15" ht="5.25" customHeight="1" thickBot="1">
      <c r="A54" s="4"/>
      <c r="C54" s="54"/>
      <c r="E54" s="89"/>
      <c r="F54" s="89"/>
      <c r="G54" s="89"/>
      <c r="H54" s="89"/>
      <c r="I54" s="89"/>
      <c r="J54" s="89"/>
      <c r="K54" s="89"/>
      <c r="L54" s="89"/>
      <c r="M54" s="89"/>
      <c r="N54" s="89"/>
    </row>
    <row r="55" spans="1:15" ht="15" thickBot="1">
      <c r="A55" s="85" t="s">
        <v>278</v>
      </c>
      <c r="C55" s="10">
        <f>C50+C47</f>
        <v>5323.5018783999949</v>
      </c>
      <c r="E55" s="11">
        <f t="shared" ref="E55:N55" si="16">E50+E47</f>
        <v>5628.9648300000008</v>
      </c>
      <c r="F55" s="10">
        <f t="shared" si="16"/>
        <v>6926.5326099999993</v>
      </c>
      <c r="G55" s="10">
        <f t="shared" si="16"/>
        <v>8208.5342500000024</v>
      </c>
      <c r="H55" s="11">
        <f t="shared" si="16"/>
        <v>7233.9787920201798</v>
      </c>
      <c r="I55" s="11">
        <f t="shared" si="16"/>
        <v>9749.1738984875647</v>
      </c>
      <c r="J55" s="11">
        <f t="shared" si="16"/>
        <v>12995.463686002335</v>
      </c>
      <c r="K55" s="11">
        <f t="shared" si="16"/>
        <v>14432.205044498613</v>
      </c>
      <c r="L55" s="11">
        <f t="shared" si="16"/>
        <v>14886.242633846647</v>
      </c>
      <c r="M55" s="11">
        <f t="shared" si="16"/>
        <v>15257.44880377158</v>
      </c>
      <c r="N55" s="11">
        <f t="shared" si="16"/>
        <v>15449.942808607659</v>
      </c>
    </row>
    <row r="56" spans="1:15" ht="15" thickBot="1"/>
    <row r="57" spans="1:15" ht="15" thickBot="1">
      <c r="A57" s="81" t="s">
        <v>279</v>
      </c>
      <c r="B57" s="82"/>
      <c r="C57" s="82" t="s">
        <v>96</v>
      </c>
      <c r="D57" s="82"/>
      <c r="E57" s="82" t="s">
        <v>86</v>
      </c>
      <c r="F57" s="82" t="s">
        <v>87</v>
      </c>
      <c r="G57" s="82" t="s">
        <v>88</v>
      </c>
      <c r="H57" s="82" t="s">
        <v>89</v>
      </c>
      <c r="I57" s="82" t="s">
        <v>90</v>
      </c>
      <c r="J57" s="82" t="s">
        <v>91</v>
      </c>
      <c r="K57" s="82" t="s">
        <v>92</v>
      </c>
      <c r="L57" s="82" t="s">
        <v>93</v>
      </c>
      <c r="M57" s="82" t="s">
        <v>94</v>
      </c>
      <c r="N57" s="82" t="s">
        <v>95</v>
      </c>
    </row>
    <row r="58" spans="1:15" ht="15" thickBot="1">
      <c r="A58" s="43" t="s">
        <v>280</v>
      </c>
      <c r="C58" s="3"/>
      <c r="E58" s="3"/>
      <c r="F58" s="3"/>
      <c r="G58" s="3"/>
      <c r="H58" s="3"/>
      <c r="I58" s="3"/>
      <c r="J58" s="3"/>
      <c r="K58" s="3"/>
      <c r="L58" s="3"/>
      <c r="M58" s="3"/>
      <c r="N58" s="3"/>
      <c r="O58" s="83"/>
    </row>
    <row r="59" spans="1:15" ht="15" thickBot="1">
      <c r="A59" s="4" t="s">
        <v>281</v>
      </c>
      <c r="C59" s="54">
        <f>C$55</f>
        <v>5323.5018783999949</v>
      </c>
      <c r="E59" s="54">
        <f t="shared" ref="E59:N59" si="17">E$55</f>
        <v>5628.9648300000008</v>
      </c>
      <c r="F59" s="54">
        <f t="shared" si="17"/>
        <v>6926.5326099999993</v>
      </c>
      <c r="G59" s="54">
        <f t="shared" si="17"/>
        <v>8208.5342500000024</v>
      </c>
      <c r="H59" s="54">
        <f t="shared" si="17"/>
        <v>7233.9787920201798</v>
      </c>
      <c r="I59" s="54">
        <f t="shared" si="17"/>
        <v>9749.1738984875647</v>
      </c>
      <c r="J59" s="54">
        <f t="shared" si="17"/>
        <v>12995.463686002335</v>
      </c>
      <c r="K59" s="54">
        <f t="shared" si="17"/>
        <v>14432.205044498613</v>
      </c>
      <c r="L59" s="54">
        <f t="shared" si="17"/>
        <v>14886.242633846647</v>
      </c>
      <c r="M59" s="54">
        <f t="shared" si="17"/>
        <v>15257.44880377158</v>
      </c>
      <c r="N59" s="54">
        <f t="shared" si="17"/>
        <v>15449.942808607659</v>
      </c>
    </row>
    <row r="60" spans="1:15" ht="15" thickBot="1">
      <c r="A60" s="4" t="s">
        <v>282</v>
      </c>
      <c r="C60" s="54"/>
      <c r="E60" s="54"/>
      <c r="F60" s="54"/>
      <c r="G60" s="54"/>
      <c r="H60" s="54"/>
      <c r="I60" s="54"/>
      <c r="J60" s="54"/>
      <c r="K60" s="54"/>
      <c r="L60" s="54"/>
      <c r="M60" s="54"/>
      <c r="N60" s="54"/>
    </row>
    <row r="61" spans="1:15" ht="15" thickBot="1">
      <c r="A61" s="85" t="s">
        <v>283</v>
      </c>
      <c r="C61" s="10">
        <f>SUM(C59:C60)</f>
        <v>5323.5018783999949</v>
      </c>
      <c r="E61" s="10">
        <f t="shared" ref="E61:N61" si="18">SUM(E59:E60)</f>
        <v>5628.9648300000008</v>
      </c>
      <c r="F61" s="10">
        <f t="shared" si="18"/>
        <v>6926.5326099999993</v>
      </c>
      <c r="G61" s="10">
        <f t="shared" si="18"/>
        <v>8208.5342500000024</v>
      </c>
      <c r="H61" s="10">
        <f t="shared" si="18"/>
        <v>7233.9787920201798</v>
      </c>
      <c r="I61" s="10">
        <f t="shared" si="18"/>
        <v>9749.1738984875647</v>
      </c>
      <c r="J61" s="10">
        <f t="shared" si="18"/>
        <v>12995.463686002335</v>
      </c>
      <c r="K61" s="10">
        <f t="shared" si="18"/>
        <v>14432.205044498613</v>
      </c>
      <c r="L61" s="10">
        <f t="shared" si="18"/>
        <v>14886.242633846647</v>
      </c>
      <c r="M61" s="10">
        <f t="shared" si="18"/>
        <v>15257.44880377158</v>
      </c>
      <c r="N61" s="10">
        <f t="shared" si="18"/>
        <v>15449.942808607659</v>
      </c>
    </row>
    <row r="62" spans="1:15" ht="5.25" customHeight="1" thickBot="1">
      <c r="A62" s="4"/>
      <c r="C62" s="54"/>
      <c r="E62" s="89"/>
      <c r="F62" s="89"/>
      <c r="G62" s="89"/>
      <c r="H62" s="89"/>
      <c r="I62" s="89"/>
      <c r="J62" s="89"/>
      <c r="K62" s="89"/>
      <c r="L62" s="89"/>
      <c r="M62" s="89"/>
      <c r="N62" s="89"/>
    </row>
    <row r="63" spans="1:15" ht="15" thickBot="1">
      <c r="A63" s="43" t="s">
        <v>284</v>
      </c>
      <c r="C63" s="3"/>
      <c r="E63" s="3"/>
      <c r="F63" s="3"/>
      <c r="G63" s="3"/>
      <c r="H63" s="3"/>
      <c r="I63" s="3"/>
      <c r="J63" s="3"/>
      <c r="K63" s="3"/>
      <c r="L63" s="3"/>
      <c r="M63" s="3"/>
      <c r="N63" s="3"/>
      <c r="O63" s="83"/>
    </row>
    <row r="64" spans="1:15" ht="15" thickBot="1">
      <c r="A64" s="4" t="s">
        <v>282</v>
      </c>
      <c r="C64" s="54"/>
      <c r="E64" s="54"/>
      <c r="F64" s="54"/>
      <c r="G64" s="54"/>
      <c r="H64" s="54">
        <f>-H32</f>
        <v>-1982.1295403505433</v>
      </c>
      <c r="I64" s="54"/>
      <c r="J64" s="54"/>
      <c r="K64" s="54"/>
      <c r="L64" s="54"/>
      <c r="M64" s="54"/>
      <c r="N64" s="54"/>
    </row>
    <row r="65" spans="1:15" ht="15" thickBot="1">
      <c r="A65" s="4" t="s">
        <v>183</v>
      </c>
      <c r="C65" s="54">
        <f>-SUM(C$28:C$30)</f>
        <v>-12025.780350000001</v>
      </c>
      <c r="E65" s="54">
        <f t="shared" ref="E65:N65" si="19">-SUM(E$28:E$30)</f>
        <v>-27184.396370000002</v>
      </c>
      <c r="F65" s="54">
        <f t="shared" si="19"/>
        <v>-30003.388510000001</v>
      </c>
      <c r="G65" s="54">
        <f t="shared" si="19"/>
        <v>-26083.457389999996</v>
      </c>
      <c r="H65" s="54">
        <f t="shared" si="19"/>
        <v>-29960.168139500001</v>
      </c>
      <c r="I65" s="54">
        <f t="shared" si="19"/>
        <v>-20597.165238500002</v>
      </c>
      <c r="J65" s="54">
        <f t="shared" si="19"/>
        <v>-19041.746422306234</v>
      </c>
      <c r="K65" s="54">
        <f t="shared" si="19"/>
        <v>-22519.25442140111</v>
      </c>
      <c r="L65" s="54">
        <f t="shared" si="19"/>
        <v>-16247.978790853016</v>
      </c>
      <c r="M65" s="54">
        <f t="shared" si="19"/>
        <v>-18578.71574125874</v>
      </c>
      <c r="N65" s="54">
        <f t="shared" si="19"/>
        <v>-14607.584108733086</v>
      </c>
    </row>
    <row r="66" spans="1:15" ht="15" thickBot="1">
      <c r="A66" s="85" t="s">
        <v>285</v>
      </c>
      <c r="C66" s="10">
        <f>SUM(C64:C65)</f>
        <v>-12025.780350000001</v>
      </c>
      <c r="E66" s="10">
        <f t="shared" ref="E66:N66" si="20">SUM(E64:E65)</f>
        <v>-27184.396370000002</v>
      </c>
      <c r="F66" s="10">
        <f t="shared" si="20"/>
        <v>-30003.388510000001</v>
      </c>
      <c r="G66" s="10">
        <f t="shared" si="20"/>
        <v>-26083.457389999996</v>
      </c>
      <c r="H66" s="10">
        <f t="shared" si="20"/>
        <v>-31942.297679850544</v>
      </c>
      <c r="I66" s="10">
        <f t="shared" si="20"/>
        <v>-20597.165238500002</v>
      </c>
      <c r="J66" s="10">
        <f t="shared" si="20"/>
        <v>-19041.746422306234</v>
      </c>
      <c r="K66" s="10">
        <f t="shared" si="20"/>
        <v>-22519.25442140111</v>
      </c>
      <c r="L66" s="10">
        <f t="shared" si="20"/>
        <v>-16247.978790853016</v>
      </c>
      <c r="M66" s="10">
        <f t="shared" si="20"/>
        <v>-18578.71574125874</v>
      </c>
      <c r="N66" s="10">
        <f t="shared" si="20"/>
        <v>-14607.584108733086</v>
      </c>
    </row>
    <row r="67" spans="1:15" ht="5.25" customHeight="1" thickBot="1">
      <c r="A67" s="4"/>
      <c r="C67" s="54"/>
      <c r="E67" s="89"/>
      <c r="F67" s="89"/>
      <c r="G67" s="89"/>
      <c r="H67" s="89"/>
      <c r="I67" s="89"/>
      <c r="J67" s="89"/>
      <c r="K67" s="89"/>
      <c r="L67" s="89"/>
      <c r="M67" s="89"/>
      <c r="N67" s="89"/>
    </row>
    <row r="68" spans="1:15" ht="15" thickBot="1">
      <c r="A68" s="43" t="s">
        <v>286</v>
      </c>
      <c r="C68" s="3"/>
      <c r="E68" s="3"/>
      <c r="F68" s="3"/>
      <c r="G68" s="3"/>
      <c r="H68" s="3"/>
      <c r="I68" s="3"/>
      <c r="J68" s="3"/>
      <c r="K68" s="3"/>
      <c r="L68" s="3"/>
      <c r="M68" s="3"/>
      <c r="N68" s="3"/>
      <c r="O68" s="83"/>
    </row>
    <row r="69" spans="1:15" ht="15" thickBot="1">
      <c r="A69" s="4" t="s">
        <v>287</v>
      </c>
      <c r="C69" s="54">
        <f>C$22-C$70-C31</f>
        <v>6190.2784716000015</v>
      </c>
      <c r="E69" s="54">
        <f>E$22-E$70-E31</f>
        <v>21555.48863</v>
      </c>
      <c r="F69" s="54">
        <f t="shared" ref="F69:N69" si="21">F$22-F$70-F31</f>
        <v>23077.046050000001</v>
      </c>
      <c r="G69" s="54">
        <f t="shared" si="21"/>
        <v>17875.398289999997</v>
      </c>
      <c r="H69" s="54">
        <f t="shared" si="21"/>
        <v>24707.933977830358</v>
      </c>
      <c r="I69" s="54">
        <f t="shared" si="21"/>
        <v>10848.106450012428</v>
      </c>
      <c r="J69" s="54">
        <f t="shared" si="21"/>
        <v>6046.282816303903</v>
      </c>
      <c r="K69" s="54">
        <f t="shared" si="21"/>
        <v>8087.4922191227452</v>
      </c>
      <c r="L69" s="54">
        <f t="shared" si="21"/>
        <v>1362.6031728004282</v>
      </c>
      <c r="M69" s="54">
        <f t="shared" si="21"/>
        <v>3322.7178302897091</v>
      </c>
      <c r="N69" s="54">
        <f t="shared" si="21"/>
        <v>-840.63633891736117</v>
      </c>
    </row>
    <row r="70" spans="1:15" ht="15" thickBot="1">
      <c r="A70" s="4" t="s">
        <v>288</v>
      </c>
      <c r="C70" s="54"/>
      <c r="E70" s="54"/>
      <c r="F70" s="54"/>
      <c r="G70" s="54"/>
      <c r="H70" s="54"/>
      <c r="I70" s="54"/>
      <c r="J70" s="54"/>
      <c r="K70" s="54"/>
      <c r="L70" s="54"/>
      <c r="M70" s="54"/>
      <c r="N70" s="54"/>
    </row>
    <row r="71" spans="1:15" ht="15" thickBot="1">
      <c r="A71" s="85" t="s">
        <v>289</v>
      </c>
      <c r="C71" s="10">
        <f>SUM(C69:C70)</f>
        <v>6190.2784716000015</v>
      </c>
      <c r="E71" s="10">
        <f t="shared" ref="E71:N71" si="22">SUM(E69:E70)</f>
        <v>21555.48863</v>
      </c>
      <c r="F71" s="10">
        <f t="shared" si="22"/>
        <v>23077.046050000001</v>
      </c>
      <c r="G71" s="10">
        <f t="shared" si="22"/>
        <v>17875.398289999997</v>
      </c>
      <c r="H71" s="10">
        <f t="shared" si="22"/>
        <v>24707.933977830358</v>
      </c>
      <c r="I71" s="10">
        <f t="shared" si="22"/>
        <v>10848.106450012428</v>
      </c>
      <c r="J71" s="10">
        <f t="shared" si="22"/>
        <v>6046.282816303903</v>
      </c>
      <c r="K71" s="10">
        <f t="shared" si="22"/>
        <v>8087.4922191227452</v>
      </c>
      <c r="L71" s="10">
        <f t="shared" si="22"/>
        <v>1362.6031728004282</v>
      </c>
      <c r="M71" s="10">
        <f t="shared" si="22"/>
        <v>3322.7178302897091</v>
      </c>
      <c r="N71" s="10">
        <f t="shared" si="22"/>
        <v>-840.63633891736117</v>
      </c>
    </row>
    <row r="72" spans="1:15" ht="5.25" customHeight="1" thickBot="1">
      <c r="A72" s="4"/>
      <c r="C72" s="89"/>
      <c r="E72" s="89"/>
      <c r="F72" s="89"/>
      <c r="G72" s="89"/>
      <c r="H72" s="89"/>
      <c r="I72" s="89"/>
      <c r="J72" s="89"/>
      <c r="K72" s="89"/>
      <c r="L72" s="89"/>
      <c r="M72" s="89"/>
      <c r="N72" s="89"/>
    </row>
    <row r="73" spans="1:15" ht="15" thickBot="1">
      <c r="A73" s="85" t="s">
        <v>290</v>
      </c>
      <c r="C73" s="11">
        <f>C61+C66+C71</f>
        <v>-512.00000000000455</v>
      </c>
      <c r="E73" s="11">
        <f t="shared" ref="E73:N73" si="23">E61+E66+E71</f>
        <v>5.7089999998424901E-2</v>
      </c>
      <c r="F73" s="11">
        <f t="shared" si="23"/>
        <v>0.19014999999853899</v>
      </c>
      <c r="G73" s="11">
        <f t="shared" si="23"/>
        <v>0.47515000000566943</v>
      </c>
      <c r="H73" s="11">
        <f t="shared" si="23"/>
        <v>-0.38491000000431086</v>
      </c>
      <c r="I73" s="11">
        <f t="shared" si="23"/>
        <v>0.11510999999154592</v>
      </c>
      <c r="J73" s="11">
        <f t="shared" si="23"/>
        <v>8.0000003435998224E-5</v>
      </c>
      <c r="K73" s="11">
        <f t="shared" si="23"/>
        <v>0.4428422202472575</v>
      </c>
      <c r="L73" s="11">
        <f t="shared" si="23"/>
        <v>0.86701579405871598</v>
      </c>
      <c r="M73" s="11">
        <f t="shared" si="23"/>
        <v>1.4508928025488785</v>
      </c>
      <c r="N73" s="11">
        <f t="shared" si="23"/>
        <v>1.7223609572110945</v>
      </c>
    </row>
    <row r="74" spans="1:15" ht="5.25" customHeight="1" thickBot="1">
      <c r="A74" s="4"/>
      <c r="C74" s="89"/>
      <c r="E74" s="89"/>
      <c r="F74" s="89"/>
      <c r="G74" s="89"/>
      <c r="H74" s="89"/>
      <c r="I74" s="89"/>
      <c r="J74" s="89"/>
      <c r="K74" s="89"/>
      <c r="L74" s="89"/>
      <c r="M74" s="89"/>
      <c r="N74" s="89"/>
    </row>
    <row r="75" spans="1:15" ht="15" thickBot="1">
      <c r="A75" s="85" t="s">
        <v>291</v>
      </c>
      <c r="C75" s="10">
        <f>C76-C73</f>
        <v>1223.0000000000045</v>
      </c>
      <c r="E75" s="11">
        <f>C76</f>
        <v>711</v>
      </c>
      <c r="F75" s="11">
        <f t="shared" ref="F75:N75" si="24">E76</f>
        <v>711.05708999999842</v>
      </c>
      <c r="G75" s="11">
        <f t="shared" si="24"/>
        <v>711.24723999999696</v>
      </c>
      <c r="H75" s="11">
        <f t="shared" si="24"/>
        <v>711.72239000000263</v>
      </c>
      <c r="I75" s="11">
        <f t="shared" si="24"/>
        <v>711.33747999999832</v>
      </c>
      <c r="J75" s="11">
        <f t="shared" si="24"/>
        <v>711.45258999998987</v>
      </c>
      <c r="K75" s="11">
        <f t="shared" si="24"/>
        <v>711.4526699999933</v>
      </c>
      <c r="L75" s="11">
        <f t="shared" si="24"/>
        <v>711.89551222024056</v>
      </c>
      <c r="M75" s="11">
        <f t="shared" si="24"/>
        <v>712.76252801429928</v>
      </c>
      <c r="N75" s="11">
        <f t="shared" si="24"/>
        <v>714.21342081684816</v>
      </c>
    </row>
    <row r="76" spans="1:15" ht="15" thickBot="1">
      <c r="A76" s="85" t="s">
        <v>292</v>
      </c>
      <c r="C76" s="11">
        <f>C80</f>
        <v>711</v>
      </c>
      <c r="E76" s="11">
        <f t="shared" ref="E76:N76" si="25">E73+E75</f>
        <v>711.05708999999842</v>
      </c>
      <c r="F76" s="11">
        <f t="shared" si="25"/>
        <v>711.24723999999696</v>
      </c>
      <c r="G76" s="11">
        <f t="shared" si="25"/>
        <v>711.72239000000263</v>
      </c>
      <c r="H76" s="11">
        <f t="shared" si="25"/>
        <v>711.33747999999832</v>
      </c>
      <c r="I76" s="11">
        <f t="shared" si="25"/>
        <v>711.45258999998987</v>
      </c>
      <c r="J76" s="11">
        <f t="shared" si="25"/>
        <v>711.4526699999933</v>
      </c>
      <c r="K76" s="11">
        <f t="shared" si="25"/>
        <v>711.89551222024056</v>
      </c>
      <c r="L76" s="11">
        <f t="shared" si="25"/>
        <v>712.76252801429928</v>
      </c>
      <c r="M76" s="11">
        <f t="shared" si="25"/>
        <v>714.21342081684816</v>
      </c>
      <c r="N76" s="11">
        <f t="shared" si="25"/>
        <v>715.93578177405925</v>
      </c>
    </row>
    <row r="77" spans="1:15" ht="15" thickBot="1"/>
    <row r="78" spans="1:15" ht="15" thickBot="1">
      <c r="A78" s="81" t="s">
        <v>293</v>
      </c>
      <c r="B78" s="82"/>
      <c r="C78" s="82" t="s">
        <v>96</v>
      </c>
      <c r="D78" s="82"/>
      <c r="E78" s="82" t="s">
        <v>86</v>
      </c>
      <c r="F78" s="82" t="s">
        <v>87</v>
      </c>
      <c r="G78" s="82" t="s">
        <v>88</v>
      </c>
      <c r="H78" s="82" t="s">
        <v>89</v>
      </c>
      <c r="I78" s="82" t="s">
        <v>90</v>
      </c>
      <c r="J78" s="82" t="s">
        <v>91</v>
      </c>
      <c r="K78" s="82" t="s">
        <v>92</v>
      </c>
      <c r="L78" s="82" t="s">
        <v>93</v>
      </c>
      <c r="M78" s="82" t="s">
        <v>94</v>
      </c>
      <c r="N78" s="82" t="s">
        <v>95</v>
      </c>
      <c r="O78" s="83"/>
    </row>
    <row r="79" spans="1:15" ht="15" thickBot="1">
      <c r="A79" s="43" t="s">
        <v>294</v>
      </c>
      <c r="C79" s="3"/>
      <c r="E79" s="3"/>
      <c r="F79" s="3"/>
      <c r="G79" s="3"/>
      <c r="H79" s="3"/>
      <c r="I79" s="3"/>
      <c r="J79" s="3"/>
      <c r="K79" s="3"/>
      <c r="L79" s="3"/>
      <c r="M79" s="3"/>
      <c r="N79" s="3"/>
      <c r="O79" s="83"/>
    </row>
    <row r="80" spans="1:15" ht="15" thickBot="1">
      <c r="A80" s="4" t="s">
        <v>295</v>
      </c>
      <c r="C80" s="54">
        <f>Input!$C$9</f>
        <v>711</v>
      </c>
      <c r="E80" s="54">
        <f t="shared" ref="E80:N80" si="26">E76</f>
        <v>711.05708999999842</v>
      </c>
      <c r="F80" s="54">
        <f t="shared" si="26"/>
        <v>711.24723999999696</v>
      </c>
      <c r="G80" s="54">
        <f t="shared" si="26"/>
        <v>711.72239000000263</v>
      </c>
      <c r="H80" s="54">
        <f t="shared" si="26"/>
        <v>711.33747999999832</v>
      </c>
      <c r="I80" s="54">
        <f t="shared" si="26"/>
        <v>711.45258999998987</v>
      </c>
      <c r="J80" s="54">
        <f t="shared" si="26"/>
        <v>711.4526699999933</v>
      </c>
      <c r="K80" s="54">
        <f t="shared" si="26"/>
        <v>711.89551222024056</v>
      </c>
      <c r="L80" s="54">
        <f t="shared" si="26"/>
        <v>712.76252801429928</v>
      </c>
      <c r="M80" s="54">
        <f t="shared" si="26"/>
        <v>714.21342081684816</v>
      </c>
      <c r="N80" s="54">
        <f t="shared" si="26"/>
        <v>715.93578177405925</v>
      </c>
    </row>
    <row r="81" spans="1:15" ht="15" thickBot="1">
      <c r="A81" s="4" t="s">
        <v>296</v>
      </c>
      <c r="C81" s="54"/>
      <c r="E81" s="54"/>
      <c r="F81" s="54"/>
      <c r="G81" s="54"/>
      <c r="H81" s="54"/>
      <c r="I81" s="54"/>
      <c r="J81" s="54"/>
      <c r="K81" s="54"/>
      <c r="L81" s="54"/>
      <c r="M81" s="54"/>
      <c r="N81" s="54"/>
    </row>
    <row r="82" spans="1:15" ht="15" thickBot="1">
      <c r="A82" s="4" t="s">
        <v>297</v>
      </c>
      <c r="C82" s="54">
        <f>Input!$C$7-Input!$C$8</f>
        <v>232318.44099999999</v>
      </c>
      <c r="E82" s="54">
        <f>$C$82-E$47+SUM(E$28:E$30)+E$52</f>
        <v>255760.03114800001</v>
      </c>
      <c r="F82" s="54">
        <f t="shared" ref="F82:N82" si="27">E$82-F$47+SUM(F$28:F$30)+F$52</f>
        <v>283165.98478024802</v>
      </c>
      <c r="G82" s="54">
        <f t="shared" si="27"/>
        <v>308515.98407593096</v>
      </c>
      <c r="H82" s="54">
        <f t="shared" si="27"/>
        <v>335464.59747183044</v>
      </c>
      <c r="I82" s="54">
        <f t="shared" si="27"/>
        <v>356567.66110956034</v>
      </c>
      <c r="J82" s="54">
        <f t="shared" si="27"/>
        <v>372360.40335949545</v>
      </c>
      <c r="K82" s="54">
        <f t="shared" si="27"/>
        <v>394870.30121165002</v>
      </c>
      <c r="L82" s="54">
        <f t="shared" si="27"/>
        <v>407307.82492479094</v>
      </c>
      <c r="M82" s="54">
        <f t="shared" si="27"/>
        <v>425991.01093551115</v>
      </c>
      <c r="N82" s="54">
        <f t="shared" si="27"/>
        <v>436307.75240941509</v>
      </c>
    </row>
    <row r="83" spans="1:15" ht="15" thickBot="1">
      <c r="A83" s="4" t="s">
        <v>298</v>
      </c>
      <c r="C83" s="54"/>
      <c r="E83" s="54">
        <f>C83-E64</f>
        <v>0</v>
      </c>
      <c r="F83" s="54">
        <f>E83-F64</f>
        <v>0</v>
      </c>
      <c r="G83" s="54">
        <f t="shared" ref="G83:N83" si="28">F83-G64</f>
        <v>0</v>
      </c>
      <c r="H83" s="54">
        <f t="shared" si="28"/>
        <v>1982.1295403505433</v>
      </c>
      <c r="I83" s="54">
        <f t="shared" si="28"/>
        <v>1982.1295403505433</v>
      </c>
      <c r="J83" s="54">
        <f t="shared" si="28"/>
        <v>1982.1295403505433</v>
      </c>
      <c r="K83" s="54">
        <f t="shared" si="28"/>
        <v>1982.1295403505433</v>
      </c>
      <c r="L83" s="54">
        <f t="shared" si="28"/>
        <v>1982.1295403505433</v>
      </c>
      <c r="M83" s="54">
        <f t="shared" si="28"/>
        <v>1982.1295403505433</v>
      </c>
      <c r="N83" s="54">
        <f t="shared" si="28"/>
        <v>1982.1295403505433</v>
      </c>
    </row>
    <row r="84" spans="1:15" ht="15" thickBot="1">
      <c r="A84" s="85" t="s">
        <v>299</v>
      </c>
      <c r="C84" s="11">
        <f>SUM(C80:C83)</f>
        <v>233029.44099999999</v>
      </c>
      <c r="E84" s="11">
        <f t="shared" ref="E84:N84" si="29">SUM(E80:E83)</f>
        <v>256471.088238</v>
      </c>
      <c r="F84" s="11">
        <f t="shared" si="29"/>
        <v>283877.23202024802</v>
      </c>
      <c r="G84" s="11">
        <f t="shared" si="29"/>
        <v>309227.70646593097</v>
      </c>
      <c r="H84" s="11">
        <f t="shared" si="29"/>
        <v>338158.06449218094</v>
      </c>
      <c r="I84" s="11">
        <f t="shared" si="29"/>
        <v>359261.24323991087</v>
      </c>
      <c r="J84" s="11">
        <f t="shared" si="29"/>
        <v>375053.98556984594</v>
      </c>
      <c r="K84" s="11">
        <f t="shared" si="29"/>
        <v>397564.32626422076</v>
      </c>
      <c r="L84" s="11">
        <f t="shared" si="29"/>
        <v>410002.71699315577</v>
      </c>
      <c r="M84" s="11">
        <f t="shared" si="29"/>
        <v>428687.35389667854</v>
      </c>
      <c r="N84" s="11">
        <f t="shared" si="29"/>
        <v>439005.81773153966</v>
      </c>
    </row>
    <row r="85" spans="1:15" ht="5.25" customHeight="1" thickBot="1">
      <c r="A85" s="4"/>
      <c r="C85" s="89"/>
      <c r="E85" s="89"/>
      <c r="F85" s="89"/>
      <c r="G85" s="89"/>
      <c r="H85" s="89"/>
      <c r="I85" s="89"/>
      <c r="J85" s="89"/>
      <c r="K85" s="89"/>
      <c r="L85" s="89"/>
      <c r="M85" s="89"/>
      <c r="N85" s="89"/>
    </row>
    <row r="86" spans="1:15" ht="15" thickBot="1">
      <c r="A86" s="43" t="s">
        <v>300</v>
      </c>
      <c r="C86" s="3"/>
      <c r="E86" s="3"/>
      <c r="F86" s="3"/>
      <c r="G86" s="3"/>
      <c r="H86" s="3"/>
      <c r="I86" s="3"/>
      <c r="J86" s="3"/>
      <c r="K86" s="3"/>
      <c r="L86" s="3"/>
      <c r="M86" s="3"/>
      <c r="N86" s="3"/>
      <c r="O86" s="83"/>
    </row>
    <row r="87" spans="1:15" ht="15" thickBot="1">
      <c r="A87" s="4" t="s">
        <v>301</v>
      </c>
      <c r="C87" s="54"/>
      <c r="E87" s="54"/>
      <c r="F87" s="54"/>
      <c r="G87" s="54"/>
      <c r="H87" s="54"/>
      <c r="I87" s="54"/>
      <c r="J87" s="54"/>
      <c r="K87" s="54"/>
      <c r="L87" s="54"/>
      <c r="M87" s="54"/>
      <c r="N87" s="54"/>
    </row>
    <row r="88" spans="1:15" ht="15" thickBot="1">
      <c r="A88" s="4" t="s">
        <v>302</v>
      </c>
      <c r="C88" s="54"/>
      <c r="E88" s="54"/>
      <c r="F88" s="54"/>
      <c r="G88" s="54"/>
      <c r="H88" s="54"/>
      <c r="I88" s="54"/>
      <c r="J88" s="54"/>
      <c r="K88" s="54"/>
      <c r="L88" s="54"/>
      <c r="M88" s="54"/>
      <c r="N88" s="54"/>
    </row>
    <row r="89" spans="1:15" ht="15" thickBot="1">
      <c r="A89" s="4" t="s">
        <v>303</v>
      </c>
      <c r="C89" s="54">
        <f>Input!$C$10-C$87</f>
        <v>33637.040000000001</v>
      </c>
      <c r="E89" s="54">
        <f>$C$89+E69+E70</f>
        <v>55192.528630000001</v>
      </c>
      <c r="F89" s="54">
        <f t="shared" ref="F89:N89" si="30">E$89+F69+F70</f>
        <v>78269.574680000005</v>
      </c>
      <c r="G89" s="54">
        <f t="shared" si="30"/>
        <v>96144.972970000003</v>
      </c>
      <c r="H89" s="54">
        <f t="shared" si="30"/>
        <v>120852.90694783036</v>
      </c>
      <c r="I89" s="54">
        <f t="shared" si="30"/>
        <v>131701.01339784279</v>
      </c>
      <c r="J89" s="54">
        <f t="shared" si="30"/>
        <v>137747.29621414669</v>
      </c>
      <c r="K89" s="54">
        <f t="shared" si="30"/>
        <v>145834.78843326942</v>
      </c>
      <c r="L89" s="54">
        <f t="shared" si="30"/>
        <v>147197.39160606984</v>
      </c>
      <c r="M89" s="54">
        <f t="shared" si="30"/>
        <v>150520.10943635955</v>
      </c>
      <c r="N89" s="54">
        <f t="shared" si="30"/>
        <v>149679.47309744218</v>
      </c>
    </row>
    <row r="90" spans="1:15" ht="15" thickBot="1">
      <c r="A90" s="4" t="s">
        <v>304</v>
      </c>
      <c r="C90" s="54"/>
      <c r="E90" s="54"/>
      <c r="F90" s="54"/>
      <c r="G90" s="54"/>
      <c r="H90" s="54"/>
      <c r="I90" s="54"/>
      <c r="J90" s="54"/>
      <c r="K90" s="54"/>
      <c r="L90" s="54"/>
      <c r="M90" s="54"/>
      <c r="N90" s="54"/>
    </row>
    <row r="91" spans="1:15" ht="15" thickBot="1">
      <c r="A91" s="85" t="s">
        <v>305</v>
      </c>
      <c r="C91" s="11">
        <f>SUM(C87:C90)</f>
        <v>33637.040000000001</v>
      </c>
      <c r="E91" s="10">
        <f t="shared" ref="E91:N91" si="31">SUM(E87:E90)</f>
        <v>55192.528630000001</v>
      </c>
      <c r="F91" s="11">
        <f t="shared" si="31"/>
        <v>78269.574680000005</v>
      </c>
      <c r="G91" s="11">
        <f t="shared" si="31"/>
        <v>96144.972970000003</v>
      </c>
      <c r="H91" s="11">
        <f t="shared" si="31"/>
        <v>120852.90694783036</v>
      </c>
      <c r="I91" s="11">
        <f t="shared" si="31"/>
        <v>131701.01339784279</v>
      </c>
      <c r="J91" s="11">
        <f t="shared" si="31"/>
        <v>137747.29621414669</v>
      </c>
      <c r="K91" s="11">
        <f t="shared" si="31"/>
        <v>145834.78843326942</v>
      </c>
      <c r="L91" s="11">
        <f t="shared" si="31"/>
        <v>147197.39160606984</v>
      </c>
      <c r="M91" s="11">
        <f t="shared" si="31"/>
        <v>150520.10943635955</v>
      </c>
      <c r="N91" s="11">
        <f t="shared" si="31"/>
        <v>149679.47309744218</v>
      </c>
    </row>
    <row r="92" spans="1:15" ht="5.25" customHeight="1" thickBot="1">
      <c r="A92" s="4"/>
      <c r="C92" s="54"/>
      <c r="E92" s="54"/>
      <c r="F92" s="89"/>
      <c r="G92" s="89"/>
      <c r="H92" s="89"/>
      <c r="I92" s="89"/>
      <c r="J92" s="89"/>
      <c r="K92" s="89"/>
      <c r="L92" s="89"/>
      <c r="M92" s="89"/>
      <c r="N92" s="89"/>
    </row>
    <row r="93" spans="1:15" ht="15" thickBot="1">
      <c r="A93" s="85" t="s">
        <v>306</v>
      </c>
      <c r="C93" s="11">
        <f>C84-C91</f>
        <v>199392.40099999998</v>
      </c>
      <c r="E93" s="11">
        <f t="shared" ref="E93:N93" si="32">E84-E91</f>
        <v>201278.55960799998</v>
      </c>
      <c r="F93" s="11">
        <f t="shared" si="32"/>
        <v>205607.657340248</v>
      </c>
      <c r="G93" s="11">
        <f t="shared" si="32"/>
        <v>213082.73349593097</v>
      </c>
      <c r="H93" s="11">
        <f t="shared" si="32"/>
        <v>217305.1575443506</v>
      </c>
      <c r="I93" s="11">
        <f t="shared" si="32"/>
        <v>227560.22984206807</v>
      </c>
      <c r="J93" s="11">
        <f t="shared" si="32"/>
        <v>237306.68935569926</v>
      </c>
      <c r="K93" s="11">
        <f t="shared" si="32"/>
        <v>251729.53783095133</v>
      </c>
      <c r="L93" s="11">
        <f t="shared" si="32"/>
        <v>262805.3253870859</v>
      </c>
      <c r="M93" s="11">
        <f t="shared" si="32"/>
        <v>278167.24446031899</v>
      </c>
      <c r="N93" s="11">
        <f t="shared" si="32"/>
        <v>289326.34463409748</v>
      </c>
    </row>
    <row r="94" spans="1:15" ht="5.25" customHeight="1" thickBot="1">
      <c r="A94" s="4"/>
      <c r="C94" s="89"/>
      <c r="E94" s="89"/>
      <c r="F94" s="89"/>
      <c r="G94" s="89"/>
      <c r="H94" s="89"/>
      <c r="I94" s="89"/>
      <c r="J94" s="89"/>
      <c r="K94" s="89"/>
      <c r="L94" s="89"/>
      <c r="M94" s="89"/>
      <c r="N94" s="89"/>
    </row>
    <row r="95" spans="1:15" ht="15" thickBot="1">
      <c r="A95" s="43" t="s">
        <v>307</v>
      </c>
      <c r="C95" s="3"/>
      <c r="E95" s="3"/>
      <c r="F95" s="3"/>
      <c r="G95" s="3"/>
      <c r="H95" s="3"/>
      <c r="I95" s="3"/>
      <c r="J95" s="3"/>
      <c r="K95" s="3"/>
      <c r="L95" s="3"/>
      <c r="M95" s="3"/>
      <c r="N95" s="3"/>
      <c r="O95" s="83"/>
    </row>
    <row r="96" spans="1:15" ht="15" thickBot="1">
      <c r="A96" s="4" t="s">
        <v>308</v>
      </c>
      <c r="C96" s="54">
        <f>Input!$C$12</f>
        <v>0</v>
      </c>
      <c r="E96" s="54">
        <f>$C$96+E$52</f>
        <v>3788.3704880000032</v>
      </c>
      <c r="F96" s="54">
        <f t="shared" ref="F96:N96" si="33">E$96+F$52</f>
        <v>8913.2102702480024</v>
      </c>
      <c r="G96" s="54">
        <f t="shared" si="33"/>
        <v>16839.708345930965</v>
      </c>
      <c r="H96" s="54">
        <f t="shared" si="33"/>
        <v>22767.666322330449</v>
      </c>
      <c r="I96" s="54">
        <f t="shared" si="33"/>
        <v>32924.749091560319</v>
      </c>
      <c r="J96" s="54">
        <f t="shared" si="33"/>
        <v>39933.945849189215</v>
      </c>
      <c r="K96" s="54">
        <f t="shared" si="33"/>
        <v>50713.231375244053</v>
      </c>
      <c r="L96" s="54">
        <f t="shared" si="33"/>
        <v>58098.644510990453</v>
      </c>
      <c r="M96" s="54">
        <f t="shared" si="33"/>
        <v>70143.265326162378</v>
      </c>
      <c r="N96" s="54">
        <f t="shared" si="33"/>
        <v>77965.27852374049</v>
      </c>
    </row>
    <row r="97" spans="1:14" ht="15" thickBot="1">
      <c r="A97" s="4" t="s">
        <v>309</v>
      </c>
      <c r="C97" s="54">
        <f>$C$93-$C$96</f>
        <v>199392.40099999998</v>
      </c>
      <c r="E97" s="54">
        <f>$C$97+E$50</f>
        <v>197490.18912</v>
      </c>
      <c r="F97" s="54">
        <f t="shared" ref="F97:N97" si="34">E$97+F$50</f>
        <v>196694.44706999999</v>
      </c>
      <c r="G97" s="54">
        <f t="shared" si="34"/>
        <v>196243.02515</v>
      </c>
      <c r="H97" s="54">
        <f t="shared" si="34"/>
        <v>194537.49122202018</v>
      </c>
      <c r="I97" s="54">
        <f t="shared" si="34"/>
        <v>194635.48075050773</v>
      </c>
      <c r="J97" s="54">
        <f t="shared" si="34"/>
        <v>197372.74350651007</v>
      </c>
      <c r="K97" s="54">
        <f t="shared" si="34"/>
        <v>201016.30645570724</v>
      </c>
      <c r="L97" s="54">
        <f t="shared" si="34"/>
        <v>204706.6808760954</v>
      </c>
      <c r="M97" s="54">
        <f t="shared" si="34"/>
        <v>208023.97913415651</v>
      </c>
      <c r="N97" s="54">
        <f t="shared" si="34"/>
        <v>211361.06611035694</v>
      </c>
    </row>
    <row r="98" spans="1:14" ht="15" thickBot="1">
      <c r="A98" s="85" t="s">
        <v>310</v>
      </c>
      <c r="C98" s="11">
        <f>SUM(C96:C97)</f>
        <v>199392.40099999998</v>
      </c>
      <c r="E98" s="10">
        <f t="shared" ref="E98:N98" si="35">SUM(E96:E97)</f>
        <v>201278.55960800001</v>
      </c>
      <c r="F98" s="10">
        <f t="shared" si="35"/>
        <v>205607.657340248</v>
      </c>
      <c r="G98" s="11">
        <f t="shared" si="35"/>
        <v>213082.73349593097</v>
      </c>
      <c r="H98" s="11">
        <f t="shared" si="35"/>
        <v>217305.15754435063</v>
      </c>
      <c r="I98" s="11">
        <f t="shared" si="35"/>
        <v>227560.22984206805</v>
      </c>
      <c r="J98" s="11">
        <f t="shared" si="35"/>
        <v>237306.68935569929</v>
      </c>
      <c r="K98" s="11">
        <f t="shared" si="35"/>
        <v>251729.53783095127</v>
      </c>
      <c r="L98" s="11">
        <f t="shared" si="35"/>
        <v>262805.32538708585</v>
      </c>
      <c r="M98" s="11">
        <f t="shared" si="35"/>
        <v>278167.24446031888</v>
      </c>
      <c r="N98" s="11">
        <f t="shared" si="35"/>
        <v>289326.34463409742</v>
      </c>
    </row>
  </sheetData>
  <pageMargins left="0.7" right="0.7" top="0.75" bottom="0.75" header="0.3" footer="0.3"/>
  <pageSetup paperSize="8" scale="6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A4436-9622-4F46-B2A2-4214FD973EC8}">
  <sheetPr codeName="Sheet31">
    <pageSetUpPr fitToPage="1"/>
  </sheetPr>
  <dimension ref="A1:S98"/>
  <sheetViews>
    <sheetView topLeftCell="C1" zoomScale="80" zoomScaleNormal="80" workbookViewId="0">
      <selection activeCell="R37" sqref="R37"/>
    </sheetView>
  </sheetViews>
  <sheetFormatPr defaultColWidth="7.81640625" defaultRowHeight="14.5"/>
  <cols>
    <col min="1" max="1" width="79.7265625" style="1" customWidth="1"/>
    <col min="2" max="2" width="1.81640625" style="1" customWidth="1"/>
    <col min="3" max="3" width="15" style="1" customWidth="1"/>
    <col min="4" max="4" width="2.26953125" style="1" customWidth="1"/>
    <col min="5" max="14" width="15" style="1" customWidth="1"/>
    <col min="15" max="16" width="11.26953125" style="1" customWidth="1"/>
    <col min="17" max="17" width="9.54296875" style="1" customWidth="1"/>
    <col min="18" max="19" width="11.26953125" style="1" customWidth="1"/>
    <col min="20" max="16384" width="7.81640625" style="1"/>
  </cols>
  <sheetData>
    <row r="1" spans="1:19" ht="15" thickBot="1">
      <c r="A1" s="81" t="s">
        <v>240</v>
      </c>
      <c r="B1" s="82"/>
      <c r="C1" s="82" t="s">
        <v>96</v>
      </c>
      <c r="D1" s="82"/>
      <c r="E1" s="82" t="s">
        <v>86</v>
      </c>
      <c r="F1" s="82" t="s">
        <v>87</v>
      </c>
      <c r="G1" s="82" t="s">
        <v>88</v>
      </c>
      <c r="H1" s="82" t="s">
        <v>89</v>
      </c>
      <c r="I1" s="82" t="s">
        <v>90</v>
      </c>
      <c r="J1" s="82" t="s">
        <v>91</v>
      </c>
      <c r="K1" s="82" t="s">
        <v>92</v>
      </c>
      <c r="L1" s="82" t="s">
        <v>93</v>
      </c>
      <c r="M1" s="82" t="s">
        <v>94</v>
      </c>
      <c r="N1" s="82" t="s">
        <v>95</v>
      </c>
      <c r="O1" s="83"/>
      <c r="P1" s="82" t="s">
        <v>171</v>
      </c>
    </row>
    <row r="2" spans="1:19" ht="15" thickBot="1">
      <c r="A2" s="43" t="s">
        <v>241</v>
      </c>
      <c r="C2" s="3"/>
      <c r="E2" s="3"/>
      <c r="F2" s="3"/>
      <c r="G2" s="3"/>
      <c r="H2" s="3"/>
      <c r="I2" s="3"/>
      <c r="J2" s="3"/>
      <c r="K2" s="3"/>
      <c r="L2" s="3"/>
      <c r="M2" s="3"/>
      <c r="N2" s="3"/>
      <c r="O2" s="83"/>
      <c r="P2" s="3"/>
    </row>
    <row r="3" spans="1:19" ht="15" thickBot="1">
      <c r="A3" s="4" t="s">
        <v>242</v>
      </c>
      <c r="C3" s="91">
        <v>529</v>
      </c>
      <c r="E3" s="91">
        <v>448.91052000000002</v>
      </c>
      <c r="F3" s="91">
        <v>500.24328000000003</v>
      </c>
      <c r="G3" s="91">
        <v>565.29971</v>
      </c>
      <c r="H3" s="91">
        <v>600.39747</v>
      </c>
      <c r="I3" s="91">
        <v>644.33109000000002</v>
      </c>
      <c r="J3" s="91">
        <v>685.04971999999998</v>
      </c>
      <c r="K3" s="91">
        <v>711.05984000000001</v>
      </c>
      <c r="L3" s="91">
        <v>676.25114000000008</v>
      </c>
      <c r="M3" s="91">
        <v>684.48358000000007</v>
      </c>
      <c r="N3" s="91">
        <v>698.61877000000004</v>
      </c>
      <c r="P3" s="84">
        <f>SUM(E3:N3)</f>
        <v>6214.645120000001</v>
      </c>
      <c r="S3" s="1" t="s">
        <v>98</v>
      </c>
    </row>
    <row r="4" spans="1:19" ht="15" thickBot="1">
      <c r="A4" s="4" t="s">
        <v>243</v>
      </c>
      <c r="C4" s="91">
        <v>18830.709650000001</v>
      </c>
      <c r="E4" s="91">
        <v>21084.652470000001</v>
      </c>
      <c r="F4" s="90">
        <v>23830.45204</v>
      </c>
      <c r="G4" s="91">
        <v>26684.9067</v>
      </c>
      <c r="H4" s="91">
        <v>30309.560275877891</v>
      </c>
      <c r="I4" s="91">
        <v>31776.751672619219</v>
      </c>
      <c r="J4" s="91">
        <v>35694.061626347371</v>
      </c>
      <c r="K4" s="91">
        <v>38273.812706501849</v>
      </c>
      <c r="L4" s="91">
        <v>41464.715648169738</v>
      </c>
      <c r="M4" s="91">
        <v>40744.015300673665</v>
      </c>
      <c r="N4" s="91">
        <v>41442.321660739632</v>
      </c>
      <c r="P4" s="84">
        <f>SUM(E4:N4)</f>
        <v>331305.25010092941</v>
      </c>
      <c r="S4" s="1" t="s">
        <v>98</v>
      </c>
    </row>
    <row r="5" spans="1:19" ht="15" thickBot="1">
      <c r="A5" s="4" t="s">
        <v>244</v>
      </c>
      <c r="C5" s="91">
        <v>102</v>
      </c>
      <c r="E5" s="91">
        <v>676.8</v>
      </c>
      <c r="F5" s="91">
        <v>246.8</v>
      </c>
      <c r="G5" s="91">
        <v>0</v>
      </c>
      <c r="H5" s="91">
        <v>0</v>
      </c>
      <c r="I5" s="91">
        <v>0</v>
      </c>
      <c r="J5" s="91">
        <v>0</v>
      </c>
      <c r="K5" s="91">
        <v>0</v>
      </c>
      <c r="L5" s="91">
        <v>0</v>
      </c>
      <c r="M5" s="91">
        <v>0</v>
      </c>
      <c r="N5" s="91">
        <v>0</v>
      </c>
      <c r="P5" s="84">
        <f>SUM(E5:N5)</f>
        <v>923.59999999999991</v>
      </c>
      <c r="S5" s="1" t="s">
        <v>98</v>
      </c>
    </row>
    <row r="6" spans="1:19" ht="15" thickBot="1">
      <c r="A6" s="4" t="s">
        <v>245</v>
      </c>
      <c r="C6" s="91">
        <v>377.374662</v>
      </c>
      <c r="E6" s="91">
        <v>52.155000000000001</v>
      </c>
      <c r="F6" s="91">
        <v>51.661000000000001</v>
      </c>
      <c r="G6" s="91">
        <v>52.814999999999998</v>
      </c>
      <c r="H6" s="91">
        <v>54.07</v>
      </c>
      <c r="I6" s="91">
        <v>55.323999999999998</v>
      </c>
      <c r="J6" s="91">
        <v>56.579000000000001</v>
      </c>
      <c r="K6" s="91">
        <v>57.783000000000001</v>
      </c>
      <c r="L6" s="91">
        <v>58.988</v>
      </c>
      <c r="M6" s="91">
        <v>60.192</v>
      </c>
      <c r="N6" s="91">
        <v>70.87</v>
      </c>
      <c r="P6" s="84">
        <f>SUM(E6:N6)</f>
        <v>570.43700000000001</v>
      </c>
      <c r="S6" s="1" t="s">
        <v>98</v>
      </c>
    </row>
    <row r="7" spans="1:19" ht="15" thickBot="1">
      <c r="A7" s="4" t="s">
        <v>246</v>
      </c>
      <c r="C7" s="91">
        <v>1311.41713</v>
      </c>
      <c r="E7" s="91">
        <v>1691.2</v>
      </c>
      <c r="F7" s="91">
        <v>1387.1572000000001</v>
      </c>
      <c r="G7" s="91">
        <v>1424.3642</v>
      </c>
      <c r="H7" s="91">
        <v>1460.9642800000001</v>
      </c>
      <c r="I7" s="91">
        <v>1497.44244</v>
      </c>
      <c r="J7" s="91">
        <v>1532.2733599999999</v>
      </c>
      <c r="K7" s="91">
        <v>1567.7008799999999</v>
      </c>
      <c r="L7" s="91">
        <v>1601.9658399999998</v>
      </c>
      <c r="M7" s="91">
        <v>1636.80708</v>
      </c>
      <c r="N7" s="91">
        <v>1670.2142800000001</v>
      </c>
      <c r="P7" s="84">
        <f>SUM(E7:N7)</f>
        <v>15470.089560000002</v>
      </c>
      <c r="S7" s="1" t="s">
        <v>98</v>
      </c>
    </row>
    <row r="8" spans="1:19" ht="15" thickBot="1">
      <c r="A8" s="85" t="s">
        <v>247</v>
      </c>
      <c r="C8" s="10">
        <f>SUM(C3:C7)</f>
        <v>21150.501442000001</v>
      </c>
      <c r="E8" s="10">
        <f t="shared" ref="E8:N8" si="0">SUM(E3:E7)</f>
        <v>23953.717990000001</v>
      </c>
      <c r="F8" s="11">
        <f t="shared" si="0"/>
        <v>26016.31352</v>
      </c>
      <c r="G8" s="11">
        <f t="shared" si="0"/>
        <v>28727.385609999998</v>
      </c>
      <c r="H8" s="11">
        <f t="shared" si="0"/>
        <v>32424.992025877891</v>
      </c>
      <c r="I8" s="11">
        <f t="shared" si="0"/>
        <v>33973.849202619218</v>
      </c>
      <c r="J8" s="11">
        <f t="shared" si="0"/>
        <v>37967.963706347371</v>
      </c>
      <c r="K8" s="11">
        <f t="shared" si="0"/>
        <v>40610.35642650185</v>
      </c>
      <c r="L8" s="11">
        <f t="shared" si="0"/>
        <v>43801.920628169733</v>
      </c>
      <c r="M8" s="11">
        <f t="shared" si="0"/>
        <v>43125.497960673667</v>
      </c>
      <c r="N8" s="11">
        <f t="shared" si="0"/>
        <v>43882.024710739635</v>
      </c>
      <c r="P8" s="11">
        <f>SUM(P3:P7)</f>
        <v>354484.02178092935</v>
      </c>
    </row>
    <row r="9" spans="1:19" ht="5.25" customHeight="1" thickBot="1">
      <c r="A9" s="62"/>
      <c r="E9" s="86"/>
      <c r="F9" s="86"/>
      <c r="G9" s="86"/>
      <c r="H9" s="86"/>
      <c r="I9" s="86"/>
      <c r="J9" s="86"/>
      <c r="K9" s="86"/>
      <c r="L9" s="86"/>
      <c r="M9" s="86"/>
      <c r="N9" s="86"/>
    </row>
    <row r="10" spans="1:19" ht="15" thickBot="1">
      <c r="A10" s="43" t="s">
        <v>248</v>
      </c>
      <c r="C10" s="3"/>
      <c r="E10" s="3"/>
      <c r="F10" s="3"/>
      <c r="G10" s="3"/>
      <c r="H10" s="3"/>
      <c r="I10" s="3"/>
      <c r="J10" s="3"/>
      <c r="K10" s="3"/>
      <c r="L10" s="3"/>
      <c r="M10" s="3"/>
      <c r="N10" s="3"/>
      <c r="O10" s="83"/>
      <c r="P10" s="3"/>
    </row>
    <row r="11" spans="1:19" ht="15" thickBot="1">
      <c r="A11" s="4" t="s">
        <v>249</v>
      </c>
      <c r="C11" s="91">
        <v>8663.1543300000012</v>
      </c>
      <c r="E11" s="91">
        <v>9480.9407700000011</v>
      </c>
      <c r="F11" s="91">
        <v>9216.1528199999993</v>
      </c>
      <c r="G11" s="91">
        <v>8556.3130500000007</v>
      </c>
      <c r="H11" s="91">
        <v>9268.5842474496494</v>
      </c>
      <c r="I11" s="91">
        <v>10206.439189135888</v>
      </c>
      <c r="J11" s="91">
        <v>10317.109655778013</v>
      </c>
      <c r="K11" s="91">
        <v>9662.6664640499948</v>
      </c>
      <c r="L11" s="91">
        <v>10509.867893477362</v>
      </c>
      <c r="M11" s="91">
        <v>9834.5006867544398</v>
      </c>
      <c r="N11" s="91">
        <v>10713.777464642693</v>
      </c>
      <c r="P11" s="84">
        <f>SUM(E11:N11)</f>
        <v>97766.352241288056</v>
      </c>
      <c r="S11" s="1" t="s">
        <v>98</v>
      </c>
    </row>
    <row r="12" spans="1:19" ht="15" thickBot="1">
      <c r="A12" s="4" t="s">
        <v>250</v>
      </c>
      <c r="C12" s="91">
        <v>3340.4324799999999</v>
      </c>
      <c r="E12" s="91">
        <v>3785.9929999999999</v>
      </c>
      <c r="F12" s="91">
        <v>4039.05368</v>
      </c>
      <c r="G12" s="91">
        <v>4759.1295099999998</v>
      </c>
      <c r="H12" s="91">
        <v>8139.5127426302934</v>
      </c>
      <c r="I12" s="91">
        <v>9569.7426088486263</v>
      </c>
      <c r="J12" s="91">
        <v>10667.942988749697</v>
      </c>
      <c r="K12" s="91">
        <v>11568.34440381706</v>
      </c>
      <c r="L12" s="91">
        <v>12143.484188082961</v>
      </c>
      <c r="M12" s="91">
        <v>12364.75488115929</v>
      </c>
      <c r="N12" s="91">
        <v>12383.712015637513</v>
      </c>
      <c r="P12" s="84">
        <f>SUM(E12:N12)</f>
        <v>89421.670018925433</v>
      </c>
      <c r="S12" s="1" t="s">
        <v>98</v>
      </c>
    </row>
    <row r="13" spans="1:19" ht="15" thickBot="1">
      <c r="A13" s="4" t="s">
        <v>251</v>
      </c>
      <c r="C13" s="91">
        <v>2162.8695400000001</v>
      </c>
      <c r="E13" s="91">
        <v>3300.26208</v>
      </c>
      <c r="F13" s="91">
        <v>3447.9048900000003</v>
      </c>
      <c r="G13" s="91">
        <v>3537.0046499999999</v>
      </c>
      <c r="H13" s="91">
        <v>3626.01361</v>
      </c>
      <c r="I13" s="91">
        <v>3731.3095499999999</v>
      </c>
      <c r="J13" s="91">
        <v>3858.89248</v>
      </c>
      <c r="K13" s="91">
        <v>3910.7317400000002</v>
      </c>
      <c r="L13" s="91">
        <v>4014.7956399999998</v>
      </c>
      <c r="M13" s="91">
        <v>4120.8178600000001</v>
      </c>
      <c r="N13" s="91">
        <v>4176.7343899999996</v>
      </c>
      <c r="P13" s="84">
        <f>SUM(E13:N13)</f>
        <v>37724.466889999996</v>
      </c>
      <c r="S13" s="1" t="s">
        <v>98</v>
      </c>
    </row>
    <row r="14" spans="1:19" ht="15" thickBot="1">
      <c r="A14" s="4" t="s">
        <v>252</v>
      </c>
      <c r="C14" s="91">
        <v>37</v>
      </c>
      <c r="E14" s="91">
        <v>0</v>
      </c>
      <c r="F14" s="91">
        <v>0</v>
      </c>
      <c r="G14" s="91">
        <v>0</v>
      </c>
      <c r="H14" s="91">
        <v>0</v>
      </c>
      <c r="I14" s="91">
        <v>0</v>
      </c>
      <c r="J14" s="91">
        <v>0</v>
      </c>
      <c r="K14" s="91">
        <v>0</v>
      </c>
      <c r="L14" s="91">
        <v>0</v>
      </c>
      <c r="M14" s="91">
        <v>0</v>
      </c>
      <c r="N14" s="91">
        <v>0</v>
      </c>
      <c r="P14" s="84">
        <f>SUM(E14:N14)</f>
        <v>0</v>
      </c>
      <c r="S14" s="1" t="s">
        <v>98</v>
      </c>
    </row>
    <row r="15" spans="1:19" ht="15" thickBot="1">
      <c r="A15" s="85" t="s">
        <v>253</v>
      </c>
      <c r="C15" s="10">
        <f>SUM(C11:C14)</f>
        <v>14203.45635</v>
      </c>
      <c r="E15" s="11">
        <f t="shared" ref="E15:N15" si="1">SUM(E11:E14)</f>
        <v>16567.19585</v>
      </c>
      <c r="F15" s="11">
        <f t="shared" si="1"/>
        <v>16703.111390000002</v>
      </c>
      <c r="G15" s="11">
        <f t="shared" si="1"/>
        <v>16852.447209999998</v>
      </c>
      <c r="H15" s="11">
        <f t="shared" si="1"/>
        <v>21034.110600079941</v>
      </c>
      <c r="I15" s="11">
        <f t="shared" si="1"/>
        <v>23507.491347984513</v>
      </c>
      <c r="J15" s="11">
        <f t="shared" si="1"/>
        <v>24843.945124527709</v>
      </c>
      <c r="K15" s="11">
        <f t="shared" si="1"/>
        <v>25141.742607867054</v>
      </c>
      <c r="L15" s="11">
        <f t="shared" si="1"/>
        <v>26668.147721560323</v>
      </c>
      <c r="M15" s="11">
        <f t="shared" si="1"/>
        <v>26320.073427913729</v>
      </c>
      <c r="N15" s="11">
        <f t="shared" si="1"/>
        <v>27274.223870280206</v>
      </c>
      <c r="P15" s="11">
        <f>SUM(P11:P14)</f>
        <v>224912.48915021349</v>
      </c>
      <c r="Q15" s="63"/>
    </row>
    <row r="16" spans="1:19" ht="5.25" customHeight="1" thickBot="1">
      <c r="A16" s="87"/>
    </row>
    <row r="17" spans="1:19" ht="15" thickBot="1">
      <c r="A17" s="85" t="s">
        <v>254</v>
      </c>
      <c r="C17" s="11">
        <f>C8-C15</f>
        <v>6947.0450920000003</v>
      </c>
      <c r="E17" s="11">
        <f t="shared" ref="E17:N17" si="2">E8-E15</f>
        <v>7386.5221400000009</v>
      </c>
      <c r="F17" s="11">
        <f t="shared" si="2"/>
        <v>9313.2021299999979</v>
      </c>
      <c r="G17" s="11">
        <f t="shared" si="2"/>
        <v>11874.938399999999</v>
      </c>
      <c r="H17" s="11">
        <f t="shared" si="2"/>
        <v>11390.88142579795</v>
      </c>
      <c r="I17" s="11">
        <f t="shared" si="2"/>
        <v>10466.357854634705</v>
      </c>
      <c r="J17" s="11">
        <f t="shared" si="2"/>
        <v>13124.018581819662</v>
      </c>
      <c r="K17" s="11">
        <f t="shared" si="2"/>
        <v>15468.613818634796</v>
      </c>
      <c r="L17" s="11">
        <f t="shared" si="2"/>
        <v>17133.772906609411</v>
      </c>
      <c r="M17" s="11">
        <f t="shared" si="2"/>
        <v>16805.424532759938</v>
      </c>
      <c r="N17" s="11">
        <f t="shared" si="2"/>
        <v>16607.800840459429</v>
      </c>
      <c r="P17" s="11">
        <f>P8-P15</f>
        <v>129571.53263071587</v>
      </c>
    </row>
    <row r="18" spans="1:19" ht="5.25" customHeight="1" thickBot="1">
      <c r="A18" s="62"/>
    </row>
    <row r="19" spans="1:19" ht="15" thickBot="1">
      <c r="A19" s="43" t="s">
        <v>255</v>
      </c>
      <c r="C19" s="3"/>
      <c r="E19" s="3"/>
      <c r="F19" s="3"/>
      <c r="G19" s="3"/>
      <c r="H19" s="3"/>
      <c r="I19" s="3"/>
      <c r="J19" s="3"/>
      <c r="K19" s="3"/>
      <c r="L19" s="3"/>
      <c r="M19" s="3"/>
      <c r="N19" s="3"/>
      <c r="O19" s="83"/>
      <c r="P19" s="3"/>
    </row>
    <row r="20" spans="1:19" ht="15" thickBot="1">
      <c r="A20" s="4" t="s">
        <v>256</v>
      </c>
      <c r="C20" s="91">
        <v>2498</v>
      </c>
      <c r="E20" s="91">
        <v>1770</v>
      </c>
      <c r="F20" s="91">
        <v>0</v>
      </c>
      <c r="G20" s="91">
        <v>0</v>
      </c>
      <c r="H20" s="91">
        <v>0</v>
      </c>
      <c r="I20" s="91">
        <v>0</v>
      </c>
      <c r="J20" s="91">
        <v>0</v>
      </c>
      <c r="K20" s="91">
        <v>0</v>
      </c>
      <c r="L20" s="91">
        <v>0</v>
      </c>
      <c r="M20" s="91">
        <v>0</v>
      </c>
      <c r="N20" s="91">
        <v>0</v>
      </c>
      <c r="P20" s="84">
        <f>SUM(E20:N20)</f>
        <v>1770</v>
      </c>
      <c r="S20" s="1" t="s">
        <v>98</v>
      </c>
    </row>
    <row r="21" spans="1:19" ht="15" thickBot="1">
      <c r="A21" s="4" t="s">
        <v>257</v>
      </c>
      <c r="C21" s="91">
        <v>941.59701999999993</v>
      </c>
      <c r="E21" s="91">
        <v>504.8</v>
      </c>
      <c r="F21" s="91">
        <v>497.51900000000001</v>
      </c>
      <c r="G21" s="91">
        <v>499.51900000000001</v>
      </c>
      <c r="H21" s="91">
        <v>500.51900000000001</v>
      </c>
      <c r="I21" s="91">
        <v>501.51900000000001</v>
      </c>
      <c r="J21" s="91">
        <v>501.51900000000001</v>
      </c>
      <c r="K21" s="91">
        <v>502.51900000000001</v>
      </c>
      <c r="L21" s="91">
        <v>502.51900000000001</v>
      </c>
      <c r="M21" s="91">
        <v>503.51900000000001</v>
      </c>
      <c r="N21" s="91">
        <v>503.51900000000001</v>
      </c>
      <c r="P21" s="84">
        <f>SUM(E21:N21)</f>
        <v>5017.4710000000014</v>
      </c>
      <c r="S21" s="1" t="s">
        <v>98</v>
      </c>
    </row>
    <row r="22" spans="1:19" ht="15" thickBot="1">
      <c r="A22" s="4" t="s">
        <v>258</v>
      </c>
      <c r="C22" s="91">
        <v>4107.2</v>
      </c>
      <c r="E22" s="91">
        <v>905.10214999999926</v>
      </c>
      <c r="F22" s="91">
        <v>8081.8743899999999</v>
      </c>
      <c r="G22" s="91">
        <v>15324.617100000001</v>
      </c>
      <c r="H22" s="91">
        <v>20531.616422867868</v>
      </c>
      <c r="I22" s="91">
        <v>18312.2364253653</v>
      </c>
      <c r="J22" s="91">
        <v>6977.2291867767844</v>
      </c>
      <c r="K22" s="91">
        <v>4524.0139927477176</v>
      </c>
      <c r="L22" s="91">
        <v>4420.316267711908</v>
      </c>
      <c r="M22" s="91">
        <v>-725.41423871086226</v>
      </c>
      <c r="N22" s="91">
        <v>2125.5468985619191</v>
      </c>
      <c r="P22" s="84">
        <f>SUM(E22:N22)</f>
        <v>80477.138595320634</v>
      </c>
      <c r="S22" s="1" t="s">
        <v>98</v>
      </c>
    </row>
    <row r="23" spans="1:19" ht="15" thickBot="1">
      <c r="A23" s="4" t="s">
        <v>259</v>
      </c>
      <c r="C23" s="91">
        <v>0</v>
      </c>
      <c r="E23" s="91">
        <v>0</v>
      </c>
      <c r="F23" s="91">
        <v>0</v>
      </c>
      <c r="G23" s="91">
        <v>0</v>
      </c>
      <c r="H23" s="91">
        <v>0</v>
      </c>
      <c r="I23" s="91">
        <v>0</v>
      </c>
      <c r="J23" s="91">
        <v>0</v>
      </c>
      <c r="K23" s="91">
        <v>0</v>
      </c>
      <c r="L23" s="91">
        <v>0</v>
      </c>
      <c r="M23" s="91">
        <v>0</v>
      </c>
      <c r="N23" s="91">
        <v>0</v>
      </c>
      <c r="P23" s="84">
        <f>SUM(E23:N23)</f>
        <v>0</v>
      </c>
      <c r="S23" s="1" t="s">
        <v>98</v>
      </c>
    </row>
    <row r="24" spans="1:19" ht="15" thickBot="1">
      <c r="A24" s="4" t="s">
        <v>260</v>
      </c>
      <c r="C24" s="91">
        <v>0</v>
      </c>
      <c r="E24" s="91">
        <v>0</v>
      </c>
      <c r="F24" s="91">
        <v>0</v>
      </c>
      <c r="G24" s="91">
        <v>0</v>
      </c>
      <c r="H24" s="91">
        <v>0</v>
      </c>
      <c r="I24" s="91">
        <v>0</v>
      </c>
      <c r="J24" s="91">
        <v>0</v>
      </c>
      <c r="K24" s="91">
        <v>0</v>
      </c>
      <c r="L24" s="91">
        <v>0</v>
      </c>
      <c r="M24" s="91">
        <v>0</v>
      </c>
      <c r="N24" s="91">
        <v>0</v>
      </c>
      <c r="P24" s="84">
        <f>SUM(E24:N24)</f>
        <v>0</v>
      </c>
      <c r="S24" s="1" t="s">
        <v>98</v>
      </c>
    </row>
    <row r="25" spans="1:19" ht="15" thickBot="1">
      <c r="A25" s="85" t="s">
        <v>261</v>
      </c>
      <c r="C25" s="11">
        <f>SUM(C20:C24)</f>
        <v>7546.79702</v>
      </c>
      <c r="E25" s="11">
        <f t="shared" ref="E25:N25" si="3">SUM(E20:E24)</f>
        <v>3179.9021499999994</v>
      </c>
      <c r="F25" s="11">
        <f t="shared" si="3"/>
        <v>8579.3933899999993</v>
      </c>
      <c r="G25" s="11">
        <f t="shared" si="3"/>
        <v>15824.136100000002</v>
      </c>
      <c r="H25" s="11">
        <f t="shared" si="3"/>
        <v>21032.135422867868</v>
      </c>
      <c r="I25" s="11">
        <f t="shared" si="3"/>
        <v>18813.7554253653</v>
      </c>
      <c r="J25" s="11">
        <f t="shared" si="3"/>
        <v>7478.7481867767847</v>
      </c>
      <c r="K25" s="11">
        <f t="shared" si="3"/>
        <v>5026.5329927477178</v>
      </c>
      <c r="L25" s="11">
        <f t="shared" si="3"/>
        <v>4922.8352677119083</v>
      </c>
      <c r="M25" s="11">
        <f t="shared" si="3"/>
        <v>-221.89523871086226</v>
      </c>
      <c r="N25" s="11">
        <f t="shared" si="3"/>
        <v>2629.0658985619193</v>
      </c>
      <c r="P25" s="11">
        <f>SUM(P20:P24)</f>
        <v>87264.609595320639</v>
      </c>
    </row>
    <row r="26" spans="1:19" ht="5.25" customHeight="1" thickBot="1">
      <c r="A26" s="62"/>
    </row>
    <row r="27" spans="1:19" ht="15" thickBot="1">
      <c r="A27" s="43" t="s">
        <v>262</v>
      </c>
      <c r="C27" s="3"/>
      <c r="E27" s="3"/>
      <c r="F27" s="3"/>
      <c r="G27" s="3"/>
      <c r="H27" s="3"/>
      <c r="I27" s="3"/>
      <c r="J27" s="3"/>
      <c r="K27" s="3"/>
      <c r="L27" s="3"/>
      <c r="M27" s="3"/>
      <c r="N27" s="3"/>
      <c r="O27" s="83"/>
      <c r="P27" s="3"/>
    </row>
    <row r="28" spans="1:19" ht="15" thickBot="1">
      <c r="A28" s="4" t="s">
        <v>212</v>
      </c>
      <c r="C28" s="91">
        <v>2513.5237200000001</v>
      </c>
      <c r="E28" s="91">
        <v>280.64400000000001</v>
      </c>
      <c r="F28" s="91">
        <v>2920.6882800000003</v>
      </c>
      <c r="G28" s="91">
        <v>3516.7888800000001</v>
      </c>
      <c r="H28" s="91">
        <v>5780.0473600000005</v>
      </c>
      <c r="I28" s="91">
        <v>3876.7675600000002</v>
      </c>
      <c r="J28" s="91">
        <v>2799.7762021008284</v>
      </c>
      <c r="K28" s="91">
        <v>623.7612656098072</v>
      </c>
      <c r="L28" s="91">
        <v>243.62316673283649</v>
      </c>
      <c r="M28" s="126">
        <v>251.86489046259535</v>
      </c>
      <c r="N28" s="91">
        <v>256.35872157945596</v>
      </c>
      <c r="P28" s="84">
        <f>SUM(E28:N28)</f>
        <v>20550.320326485526</v>
      </c>
      <c r="S28" s="1" t="s">
        <v>98</v>
      </c>
    </row>
    <row r="29" spans="1:19" ht="15" thickBot="1">
      <c r="A29" s="4" t="s">
        <v>213</v>
      </c>
      <c r="C29" s="91">
        <v>10788.185710000002</v>
      </c>
      <c r="E29" s="91">
        <v>4996.78</v>
      </c>
      <c r="F29" s="91">
        <v>7798.5104000000001</v>
      </c>
      <c r="G29" s="91">
        <v>13994.9558</v>
      </c>
      <c r="H29" s="91">
        <v>14946.143199999999</v>
      </c>
      <c r="I29" s="91">
        <v>17028.446599999999</v>
      </c>
      <c r="J29" s="91">
        <v>5694.41721864385</v>
      </c>
      <c r="K29" s="91">
        <v>5624.3745637285347</v>
      </c>
      <c r="L29" s="91">
        <v>8625.9449946461391</v>
      </c>
      <c r="M29" s="91">
        <v>3095.3499450663498</v>
      </c>
      <c r="N29" s="91">
        <v>5846.4547827926581</v>
      </c>
      <c r="P29" s="84">
        <f>SUM(E29:N29)</f>
        <v>87651.377504877528</v>
      </c>
      <c r="S29" s="1" t="s">
        <v>98</v>
      </c>
    </row>
    <row r="30" spans="1:19" ht="15" thickBot="1">
      <c r="A30" s="4" t="s">
        <v>214</v>
      </c>
      <c r="C30" s="91">
        <v>9070.5638799999997</v>
      </c>
      <c r="E30" s="91">
        <v>7861.2077599999993</v>
      </c>
      <c r="F30" s="91">
        <v>9436.6946000000007</v>
      </c>
      <c r="G30" s="91">
        <v>9628.3610900000003</v>
      </c>
      <c r="H30" s="91">
        <v>10420.201200000001</v>
      </c>
      <c r="I30" s="91">
        <v>8722.9257599999983</v>
      </c>
      <c r="J30" s="91">
        <v>11053.661907851765</v>
      </c>
      <c r="K30" s="91">
        <v>11781.427017001741</v>
      </c>
      <c r="L30" s="91">
        <v>10460.099630031888</v>
      </c>
      <c r="M30" s="91">
        <v>11061.098800137421</v>
      </c>
      <c r="N30" s="91">
        <v>10661.714845770533</v>
      </c>
      <c r="P30" s="84">
        <f>SUM(E30:N30)</f>
        <v>101087.39261079334</v>
      </c>
      <c r="S30" s="1" t="s">
        <v>98</v>
      </c>
    </row>
    <row r="31" spans="1:19" ht="15" thickBot="1">
      <c r="A31" s="4" t="s">
        <v>263</v>
      </c>
      <c r="C31" s="91">
        <v>-7224.4311980000002</v>
      </c>
      <c r="E31" s="91">
        <v>-2572.2075500000001</v>
      </c>
      <c r="F31" s="91">
        <v>-2263.2378800000001</v>
      </c>
      <c r="G31" s="91">
        <v>558.96860999999967</v>
      </c>
      <c r="H31" s="91">
        <v>-991.75576000000001</v>
      </c>
      <c r="I31" s="91">
        <v>-348.02672000000018</v>
      </c>
      <c r="J31" s="91">
        <v>1054.9113600000001</v>
      </c>
      <c r="K31" s="91">
        <v>2465.4112400000004</v>
      </c>
      <c r="L31" s="91">
        <v>2726.9295399999996</v>
      </c>
      <c r="M31" s="91">
        <v>2175.1986199999997</v>
      </c>
      <c r="N31" s="91">
        <v>2472.3140000000003</v>
      </c>
      <c r="P31" s="84">
        <f>SUM(E31:N31)</f>
        <v>5278.5054600000003</v>
      </c>
      <c r="S31" s="1" t="s">
        <v>98</v>
      </c>
    </row>
    <row r="32" spans="1:19" ht="15" thickBot="1">
      <c r="A32" s="4" t="s">
        <v>264</v>
      </c>
      <c r="C32" s="91">
        <v>275</v>
      </c>
      <c r="E32" s="91">
        <v>0</v>
      </c>
      <c r="F32" s="91">
        <v>0</v>
      </c>
      <c r="G32" s="91">
        <v>0</v>
      </c>
      <c r="H32" s="91">
        <v>2268.0687586658178</v>
      </c>
      <c r="I32" s="91">
        <v>0</v>
      </c>
      <c r="J32" s="91">
        <v>0</v>
      </c>
      <c r="K32" s="91">
        <v>0</v>
      </c>
      <c r="L32" s="91">
        <v>0</v>
      </c>
      <c r="M32" s="91">
        <v>0</v>
      </c>
      <c r="N32" s="91">
        <v>0</v>
      </c>
      <c r="P32" s="84">
        <f>SUM(E32:N32)</f>
        <v>2268.0687586658178</v>
      </c>
      <c r="S32" s="1" t="s">
        <v>98</v>
      </c>
    </row>
    <row r="33" spans="1:16" ht="15" thickBot="1">
      <c r="A33" s="85" t="s">
        <v>265</v>
      </c>
      <c r="C33" s="11">
        <f>SUM(C28:C32)</f>
        <v>15422.842112000004</v>
      </c>
      <c r="E33" s="11">
        <f t="shared" ref="E33:M33" si="4">SUM(E28:E32)</f>
        <v>10566.424210000001</v>
      </c>
      <c r="F33" s="11">
        <f t="shared" si="4"/>
        <v>17892.655400000003</v>
      </c>
      <c r="G33" s="11">
        <f t="shared" si="4"/>
        <v>27699.074380000002</v>
      </c>
      <c r="H33" s="11">
        <f t="shared" si="4"/>
        <v>32422.704758665815</v>
      </c>
      <c r="I33" s="10">
        <f t="shared" si="4"/>
        <v>29280.113199999996</v>
      </c>
      <c r="J33" s="11">
        <f t="shared" si="4"/>
        <v>20602.766688596443</v>
      </c>
      <c r="K33" s="11">
        <f t="shared" si="4"/>
        <v>20494.974086340084</v>
      </c>
      <c r="L33" s="11">
        <f t="shared" si="4"/>
        <v>22056.597331410863</v>
      </c>
      <c r="M33" s="11">
        <f t="shared" si="4"/>
        <v>16583.512255666366</v>
      </c>
      <c r="N33" s="11">
        <f>SUM(N28:N32)</f>
        <v>19236.842350142644</v>
      </c>
      <c r="P33" s="11">
        <f>SUM(P28:P32)</f>
        <v>216835.66466082219</v>
      </c>
    </row>
    <row r="34" spans="1:16" ht="5.25" customHeight="1" thickBot="1">
      <c r="A34" s="87"/>
    </row>
    <row r="35" spans="1:16" ht="15" thickBot="1">
      <c r="A35" s="85" t="s">
        <v>266</v>
      </c>
      <c r="C35" s="11">
        <f>C25-C33</f>
        <v>-7876.0450920000039</v>
      </c>
      <c r="E35" s="11">
        <f t="shared" ref="E35:M35" si="5">E25-E33</f>
        <v>-7386.5220600000011</v>
      </c>
      <c r="F35" s="11">
        <f t="shared" si="5"/>
        <v>-9313.262010000004</v>
      </c>
      <c r="G35" s="11">
        <f t="shared" si="5"/>
        <v>-11874.93828</v>
      </c>
      <c r="H35" s="11">
        <f t="shared" si="5"/>
        <v>-11390.569335797947</v>
      </c>
      <c r="I35" s="11">
        <f t="shared" si="5"/>
        <v>-10466.357774634696</v>
      </c>
      <c r="J35" s="11">
        <f t="shared" si="5"/>
        <v>-13124.018501819657</v>
      </c>
      <c r="K35" s="11">
        <f t="shared" si="5"/>
        <v>-15468.441093592366</v>
      </c>
      <c r="L35" s="11">
        <f t="shared" si="5"/>
        <v>-17133.762063698956</v>
      </c>
      <c r="M35" s="11">
        <f t="shared" si="5"/>
        <v>-16805.407494377228</v>
      </c>
      <c r="N35" s="11">
        <f>N25-N33</f>
        <v>-16607.776451580725</v>
      </c>
      <c r="P35" s="11">
        <f>P25-P33</f>
        <v>-129571.05506550155</v>
      </c>
    </row>
    <row r="36" spans="1:16" ht="5.25" customHeight="1" thickBot="1">
      <c r="A36" s="88"/>
    </row>
    <row r="37" spans="1:16" ht="15" thickBot="1">
      <c r="A37" s="85" t="s">
        <v>267</v>
      </c>
      <c r="C37" s="11">
        <f>C17+C35</f>
        <v>-929.00000000000364</v>
      </c>
      <c r="E37" s="11">
        <f t="shared" ref="E37:M37" si="6">E17+E35</f>
        <v>7.9999999798019417E-5</v>
      </c>
      <c r="F37" s="11">
        <f t="shared" si="6"/>
        <v>-5.9880000006160117E-2</v>
      </c>
      <c r="G37" s="11">
        <f t="shared" si="6"/>
        <v>1.1999999878753442E-4</v>
      </c>
      <c r="H37" s="11">
        <f t="shared" si="6"/>
        <v>0.31209000000308151</v>
      </c>
      <c r="I37" s="11">
        <f t="shared" si="6"/>
        <v>8.0000008892966434E-5</v>
      </c>
      <c r="J37" s="11">
        <f t="shared" si="6"/>
        <v>8.0000005254987627E-5</v>
      </c>
      <c r="K37" s="11">
        <f t="shared" si="6"/>
        <v>0.17272504243010189</v>
      </c>
      <c r="L37" s="11">
        <f t="shared" si="6"/>
        <v>1.0842910454812227E-2</v>
      </c>
      <c r="M37" s="11">
        <f t="shared" si="6"/>
        <v>1.7038382709870348E-2</v>
      </c>
      <c r="N37" s="11">
        <f>N17+N35</f>
        <v>2.4388878704485251E-2</v>
      </c>
      <c r="P37" s="11">
        <f>P17+P35</f>
        <v>0.47756521431438159</v>
      </c>
    </row>
    <row r="38" spans="1:16" ht="15" thickBot="1"/>
    <row r="39" spans="1:16" ht="15" thickBot="1">
      <c r="A39" s="81" t="s">
        <v>268</v>
      </c>
      <c r="B39" s="82"/>
      <c r="C39" s="82" t="s">
        <v>96</v>
      </c>
      <c r="D39" s="82"/>
      <c r="E39" s="82" t="s">
        <v>86</v>
      </c>
      <c r="F39" s="82" t="s">
        <v>87</v>
      </c>
      <c r="G39" s="82" t="s">
        <v>88</v>
      </c>
      <c r="H39" s="82" t="s">
        <v>89</v>
      </c>
      <c r="I39" s="82" t="s">
        <v>90</v>
      </c>
      <c r="J39" s="82" t="s">
        <v>91</v>
      </c>
      <c r="K39" s="82" t="s">
        <v>92</v>
      </c>
      <c r="L39" s="82" t="s">
        <v>93</v>
      </c>
      <c r="M39" s="82" t="s">
        <v>94</v>
      </c>
      <c r="N39" s="82" t="s">
        <v>95</v>
      </c>
      <c r="O39" s="83"/>
    </row>
    <row r="40" spans="1:16" ht="15" thickBot="1">
      <c r="A40" s="4" t="s">
        <v>193</v>
      </c>
      <c r="C40" s="54">
        <f>C$8</f>
        <v>21150.501442000001</v>
      </c>
      <c r="E40" s="54">
        <f t="shared" ref="E40:N40" si="7">E$8</f>
        <v>23953.717990000001</v>
      </c>
      <c r="F40" s="54">
        <f t="shared" si="7"/>
        <v>26016.31352</v>
      </c>
      <c r="G40" s="54">
        <f t="shared" si="7"/>
        <v>28727.385609999998</v>
      </c>
      <c r="H40" s="54">
        <f t="shared" si="7"/>
        <v>32424.992025877891</v>
      </c>
      <c r="I40" s="54">
        <f t="shared" si="7"/>
        <v>33973.849202619218</v>
      </c>
      <c r="J40" s="54">
        <f t="shared" si="7"/>
        <v>37967.963706347371</v>
      </c>
      <c r="K40" s="54">
        <f t="shared" si="7"/>
        <v>40610.35642650185</v>
      </c>
      <c r="L40" s="54">
        <f t="shared" si="7"/>
        <v>43801.920628169733</v>
      </c>
      <c r="M40" s="54">
        <f t="shared" si="7"/>
        <v>43125.497960673667</v>
      </c>
      <c r="N40" s="54">
        <f t="shared" si="7"/>
        <v>43882.024710739635</v>
      </c>
    </row>
    <row r="41" spans="1:16" ht="15" thickBot="1">
      <c r="A41" s="4" t="s">
        <v>269</v>
      </c>
      <c r="C41" s="54">
        <f>C$20+C$21+C$23+C$24</f>
        <v>3439.5970200000002</v>
      </c>
      <c r="E41" s="54">
        <f t="shared" ref="E41:N41" si="8">E$20+E$21+E$23+E$24</f>
        <v>2274.8000000000002</v>
      </c>
      <c r="F41" s="54">
        <f t="shared" si="8"/>
        <v>497.51900000000001</v>
      </c>
      <c r="G41" s="54">
        <f t="shared" si="8"/>
        <v>499.51900000000001</v>
      </c>
      <c r="H41" s="54">
        <f t="shared" si="8"/>
        <v>500.51900000000001</v>
      </c>
      <c r="I41" s="54">
        <f t="shared" si="8"/>
        <v>501.51900000000001</v>
      </c>
      <c r="J41" s="54">
        <f t="shared" si="8"/>
        <v>501.51900000000001</v>
      </c>
      <c r="K41" s="54">
        <f t="shared" si="8"/>
        <v>502.51900000000001</v>
      </c>
      <c r="L41" s="54">
        <f t="shared" si="8"/>
        <v>502.51900000000001</v>
      </c>
      <c r="M41" s="54">
        <f t="shared" si="8"/>
        <v>503.51900000000001</v>
      </c>
      <c r="N41" s="54">
        <f t="shared" si="8"/>
        <v>503.51900000000001</v>
      </c>
    </row>
    <row r="42" spans="1:16" ht="15" thickBot="1">
      <c r="A42" s="85" t="s">
        <v>270</v>
      </c>
      <c r="C42" s="10">
        <f>SUM(C40:C41)</f>
        <v>24590.098462000002</v>
      </c>
      <c r="E42" s="11">
        <f t="shared" ref="E42:N42" si="9">SUM(E40:E41)</f>
        <v>26228.51799</v>
      </c>
      <c r="F42" s="10">
        <f t="shared" si="9"/>
        <v>26513.83252</v>
      </c>
      <c r="G42" s="11">
        <f t="shared" si="9"/>
        <v>29226.904609999998</v>
      </c>
      <c r="H42" s="11">
        <f t="shared" si="9"/>
        <v>32925.511025877888</v>
      </c>
      <c r="I42" s="11">
        <f t="shared" si="9"/>
        <v>34475.368202619218</v>
      </c>
      <c r="J42" s="11">
        <f t="shared" si="9"/>
        <v>38469.482706347371</v>
      </c>
      <c r="K42" s="11">
        <f t="shared" si="9"/>
        <v>41112.875426501851</v>
      </c>
      <c r="L42" s="11">
        <f t="shared" si="9"/>
        <v>44304.439628169734</v>
      </c>
      <c r="M42" s="11">
        <f t="shared" si="9"/>
        <v>43629.016960673667</v>
      </c>
      <c r="N42" s="11">
        <f t="shared" si="9"/>
        <v>44385.543710739636</v>
      </c>
    </row>
    <row r="43" spans="1:16" ht="5.25" customHeight="1" thickBot="1">
      <c r="A43" s="4"/>
      <c r="C43" s="89"/>
      <c r="E43" s="89"/>
      <c r="F43" s="89"/>
      <c r="G43" s="89"/>
      <c r="H43" s="89"/>
      <c r="I43" s="89"/>
      <c r="J43" s="89"/>
      <c r="K43" s="89"/>
      <c r="L43" s="89"/>
      <c r="M43" s="89"/>
      <c r="N43" s="89"/>
    </row>
    <row r="44" spans="1:16" ht="15" thickBot="1">
      <c r="A44" s="4" t="s">
        <v>271</v>
      </c>
      <c r="C44" s="54">
        <f>C$11+C$14</f>
        <v>8700.1543300000012</v>
      </c>
      <c r="E44" s="54">
        <f t="shared" ref="E44:N44" si="10">E$11+E$14</f>
        <v>9480.9407700000011</v>
      </c>
      <c r="F44" s="54">
        <f t="shared" si="10"/>
        <v>9216.1528199999993</v>
      </c>
      <c r="G44" s="54">
        <f t="shared" si="10"/>
        <v>8556.3130500000007</v>
      </c>
      <c r="H44" s="54">
        <f t="shared" si="10"/>
        <v>9268.5842474496494</v>
      </c>
      <c r="I44" s="54">
        <f t="shared" si="10"/>
        <v>10206.439189135888</v>
      </c>
      <c r="J44" s="54">
        <f t="shared" si="10"/>
        <v>10317.109655778013</v>
      </c>
      <c r="K44" s="54">
        <f t="shared" si="10"/>
        <v>9662.6664640499948</v>
      </c>
      <c r="L44" s="54">
        <f t="shared" si="10"/>
        <v>10509.867893477362</v>
      </c>
      <c r="M44" s="54">
        <f t="shared" si="10"/>
        <v>9834.5006867544398</v>
      </c>
      <c r="N44" s="54">
        <f t="shared" si="10"/>
        <v>10713.777464642693</v>
      </c>
    </row>
    <row r="45" spans="1:16" ht="15" thickBot="1">
      <c r="A45" s="4" t="s">
        <v>250</v>
      </c>
      <c r="C45" s="54">
        <f>C$12</f>
        <v>3340.4324799999999</v>
      </c>
      <c r="E45" s="54">
        <f t="shared" ref="E45:N45" si="11">E$12</f>
        <v>3785.9929999999999</v>
      </c>
      <c r="F45" s="54">
        <f t="shared" si="11"/>
        <v>4039.05368</v>
      </c>
      <c r="G45" s="54">
        <f t="shared" si="11"/>
        <v>4759.1295099999998</v>
      </c>
      <c r="H45" s="54">
        <f t="shared" si="11"/>
        <v>8139.5127426302934</v>
      </c>
      <c r="I45" s="54">
        <f t="shared" si="11"/>
        <v>9569.7426088486263</v>
      </c>
      <c r="J45" s="54">
        <f t="shared" si="11"/>
        <v>10667.942988749697</v>
      </c>
      <c r="K45" s="54">
        <f t="shared" si="11"/>
        <v>11568.34440381706</v>
      </c>
      <c r="L45" s="54">
        <f t="shared" si="11"/>
        <v>12143.484188082961</v>
      </c>
      <c r="M45" s="54">
        <f t="shared" si="11"/>
        <v>12364.75488115929</v>
      </c>
      <c r="N45" s="54">
        <f t="shared" si="11"/>
        <v>12383.712015637513</v>
      </c>
    </row>
    <row r="46" spans="1:16" ht="15" thickBot="1">
      <c r="A46" s="4" t="s">
        <v>272</v>
      </c>
      <c r="C46" s="54">
        <f>C$13</f>
        <v>2162.8695400000001</v>
      </c>
      <c r="E46" s="54">
        <f t="shared" ref="E46:N46" si="12">E$13</f>
        <v>3300.26208</v>
      </c>
      <c r="F46" s="54">
        <f t="shared" si="12"/>
        <v>3447.9048900000003</v>
      </c>
      <c r="G46" s="54">
        <f t="shared" si="12"/>
        <v>3537.0046499999999</v>
      </c>
      <c r="H46" s="54">
        <f t="shared" si="12"/>
        <v>3626.01361</v>
      </c>
      <c r="I46" s="54">
        <f t="shared" si="12"/>
        <v>3731.3095499999999</v>
      </c>
      <c r="J46" s="54">
        <f t="shared" si="12"/>
        <v>3858.89248</v>
      </c>
      <c r="K46" s="54">
        <f t="shared" si="12"/>
        <v>3910.7317400000002</v>
      </c>
      <c r="L46" s="54">
        <f t="shared" si="12"/>
        <v>4014.7956399999998</v>
      </c>
      <c r="M46" s="54">
        <f t="shared" si="12"/>
        <v>4120.8178600000001</v>
      </c>
      <c r="N46" s="54">
        <f t="shared" si="12"/>
        <v>4176.7343899999996</v>
      </c>
    </row>
    <row r="47" spans="1:16" ht="15" thickBot="1">
      <c r="A47" s="4" t="s">
        <v>273</v>
      </c>
      <c r="C47" s="54">
        <f>Input!N19</f>
        <v>0</v>
      </c>
      <c r="E47" s="54">
        <f>Input!C$19</f>
        <v>7463.2271799999999</v>
      </c>
      <c r="F47" s="54">
        <f>Input!D$19</f>
        <v>7990.0086899999997</v>
      </c>
      <c r="G47" s="54">
        <f>Input!E$19</f>
        <v>9045.1844099999998</v>
      </c>
      <c r="H47" s="54">
        <f>Input!F$19</f>
        <v>9516.2713599999988</v>
      </c>
      <c r="I47" s="54">
        <f>Input!G$19</f>
        <v>10322.86347</v>
      </c>
      <c r="J47" s="54">
        <f>Input!H$19</f>
        <v>11317.164989999999</v>
      </c>
      <c r="K47" s="54">
        <f>Input!I$19</f>
        <v>12014.97401119725</v>
      </c>
      <c r="L47" s="54">
        <f>Input!J$19</f>
        <v>12561.963811080797</v>
      </c>
      <c r="M47" s="54">
        <f>Input!K$19</f>
        <v>13116.895063166219</v>
      </c>
      <c r="N47" s="54">
        <f>Input!L$19</f>
        <v>13325.331973085804</v>
      </c>
    </row>
    <row r="48" spans="1:16" ht="15" thickBot="1">
      <c r="A48" s="85" t="s">
        <v>274</v>
      </c>
      <c r="C48" s="10">
        <f>SUM(C44:C47)</f>
        <v>14203.45635</v>
      </c>
      <c r="E48" s="10">
        <f t="shared" ref="E48:N48" si="13">SUM(E44:E47)</f>
        <v>24030.423029999998</v>
      </c>
      <c r="F48" s="11">
        <f t="shared" si="13"/>
        <v>24693.120080000001</v>
      </c>
      <c r="G48" s="11">
        <f t="shared" si="13"/>
        <v>25897.63162</v>
      </c>
      <c r="H48" s="11">
        <f t="shared" si="13"/>
        <v>30550.38196007994</v>
      </c>
      <c r="I48" s="11">
        <f t="shared" si="13"/>
        <v>33830.354817984509</v>
      </c>
      <c r="J48" s="11">
        <f t="shared" si="13"/>
        <v>36161.110114527706</v>
      </c>
      <c r="K48" s="11">
        <f t="shared" si="13"/>
        <v>37156.716619064304</v>
      </c>
      <c r="L48" s="11">
        <f t="shared" si="13"/>
        <v>39230.111532641124</v>
      </c>
      <c r="M48" s="11">
        <f t="shared" si="13"/>
        <v>39436.968491079948</v>
      </c>
      <c r="N48" s="11">
        <f t="shared" si="13"/>
        <v>40599.555843366012</v>
      </c>
    </row>
    <row r="49" spans="1:15" ht="5.25" customHeight="1" thickBot="1">
      <c r="A49" s="4"/>
      <c r="C49" s="54"/>
      <c r="E49" s="89"/>
      <c r="F49" s="89"/>
      <c r="G49" s="89"/>
      <c r="H49" s="89"/>
      <c r="I49" s="89"/>
      <c r="J49" s="89"/>
      <c r="K49" s="89"/>
      <c r="L49" s="89"/>
      <c r="M49" s="89"/>
      <c r="N49" s="89"/>
    </row>
    <row r="50" spans="1:15" ht="15" thickBot="1">
      <c r="A50" s="85" t="s">
        <v>275</v>
      </c>
      <c r="C50" s="10">
        <f>C42-C48</f>
        <v>10386.642112000001</v>
      </c>
      <c r="E50" s="11">
        <f t="shared" ref="E50:N50" si="14">E42-E48</f>
        <v>2198.0949600000022</v>
      </c>
      <c r="F50" s="11">
        <f t="shared" si="14"/>
        <v>1820.7124399999993</v>
      </c>
      <c r="G50" s="11">
        <f t="shared" si="14"/>
        <v>3329.2729899999977</v>
      </c>
      <c r="H50" s="11">
        <f t="shared" si="14"/>
        <v>2375.129065797948</v>
      </c>
      <c r="I50" s="10">
        <f t="shared" si="14"/>
        <v>645.01338463470893</v>
      </c>
      <c r="J50" s="11">
        <f t="shared" si="14"/>
        <v>2308.3725918196651</v>
      </c>
      <c r="K50" s="11">
        <f t="shared" si="14"/>
        <v>3956.1588074375468</v>
      </c>
      <c r="L50" s="11">
        <f t="shared" si="14"/>
        <v>5074.32809552861</v>
      </c>
      <c r="M50" s="11">
        <f t="shared" si="14"/>
        <v>4192.0484695937193</v>
      </c>
      <c r="N50" s="10">
        <f t="shared" si="14"/>
        <v>3785.9878673736239</v>
      </c>
    </row>
    <row r="51" spans="1:15" ht="5.25" customHeight="1" thickBot="1">
      <c r="A51" s="4"/>
      <c r="C51" s="54"/>
      <c r="E51" s="89"/>
      <c r="F51" s="89"/>
      <c r="G51" s="89"/>
      <c r="H51" s="89"/>
      <c r="I51" s="89"/>
      <c r="J51" s="89"/>
      <c r="K51" s="89"/>
      <c r="L51" s="89"/>
      <c r="M51" s="89"/>
      <c r="N51" s="89"/>
    </row>
    <row r="52" spans="1:15" ht="15" thickBot="1">
      <c r="A52" s="4" t="s">
        <v>276</v>
      </c>
      <c r="C52" s="91">
        <f>Input!N24</f>
        <v>0</v>
      </c>
      <c r="E52" s="54">
        <f>Input!C$24</f>
        <v>3298.4613480000035</v>
      </c>
      <c r="F52" s="54">
        <f>Input!D$24</f>
        <v>8845.5267335519984</v>
      </c>
      <c r="G52" s="54">
        <f>Input!E$24</f>
        <v>6309.9204740855203</v>
      </c>
      <c r="H52" s="54">
        <f>Input!F$24</f>
        <v>9293.0900619841523</v>
      </c>
      <c r="I52" s="54">
        <f>Input!G$24</f>
        <v>9087.4629380743136</v>
      </c>
      <c r="J52" s="54">
        <f>Input!H$24</f>
        <v>9773.8939642585647</v>
      </c>
      <c r="K52" s="54">
        <f>Input!I$24</f>
        <v>10560.79559148129</v>
      </c>
      <c r="L52" s="54">
        <f>Input!J$24</f>
        <v>10029.986516837791</v>
      </c>
      <c r="M52" s="54">
        <f>Input!K$24</f>
        <v>11589.840154236295</v>
      </c>
      <c r="N52" s="54">
        <f>Input!L$24</f>
        <v>10588.302514672492</v>
      </c>
    </row>
    <row r="53" spans="1:15" ht="15" thickBot="1">
      <c r="A53" s="85" t="s">
        <v>277</v>
      </c>
      <c r="C53" s="10">
        <f>C50+C52</f>
        <v>10386.642112000001</v>
      </c>
      <c r="E53" s="10">
        <f t="shared" ref="E53:N53" si="15">E50+E52</f>
        <v>5496.5563080000056</v>
      </c>
      <c r="F53" s="10">
        <f t="shared" si="15"/>
        <v>10666.239173551998</v>
      </c>
      <c r="G53" s="10">
        <f t="shared" si="15"/>
        <v>9639.1934640855179</v>
      </c>
      <c r="H53" s="10">
        <f t="shared" si="15"/>
        <v>11668.2191277821</v>
      </c>
      <c r="I53" s="10">
        <f t="shared" si="15"/>
        <v>9732.4763227090225</v>
      </c>
      <c r="J53" s="10">
        <f t="shared" si="15"/>
        <v>12082.26655607823</v>
      </c>
      <c r="K53" s="10">
        <f t="shared" si="15"/>
        <v>14516.954398918837</v>
      </c>
      <c r="L53" s="10">
        <f t="shared" si="15"/>
        <v>15104.314612366401</v>
      </c>
      <c r="M53" s="10">
        <f t="shared" si="15"/>
        <v>15781.888623830015</v>
      </c>
      <c r="N53" s="10">
        <f t="shared" si="15"/>
        <v>14374.290382046116</v>
      </c>
    </row>
    <row r="54" spans="1:15" ht="5.25" customHeight="1" thickBot="1">
      <c r="A54" s="4"/>
      <c r="C54" s="54"/>
      <c r="E54" s="89"/>
      <c r="F54" s="89"/>
      <c r="G54" s="89"/>
      <c r="H54" s="89"/>
      <c r="I54" s="89"/>
      <c r="J54" s="89"/>
      <c r="K54" s="89"/>
      <c r="L54" s="89"/>
      <c r="M54" s="89"/>
      <c r="N54" s="89"/>
    </row>
    <row r="55" spans="1:15" ht="15" thickBot="1">
      <c r="A55" s="85" t="s">
        <v>278</v>
      </c>
      <c r="C55" s="10">
        <f>C50+C47</f>
        <v>10386.642112000001</v>
      </c>
      <c r="E55" s="11">
        <f t="shared" ref="E55:N55" si="16">E50+E47</f>
        <v>9661.322140000002</v>
      </c>
      <c r="F55" s="10">
        <f t="shared" si="16"/>
        <v>9810.7211299999981</v>
      </c>
      <c r="G55" s="11">
        <f t="shared" si="16"/>
        <v>12374.457399999998</v>
      </c>
      <c r="H55" s="11">
        <f t="shared" si="16"/>
        <v>11891.400425797947</v>
      </c>
      <c r="I55" s="11">
        <f t="shared" si="16"/>
        <v>10967.876854634709</v>
      </c>
      <c r="J55" s="11">
        <f t="shared" si="16"/>
        <v>13625.537581819664</v>
      </c>
      <c r="K55" s="11">
        <f t="shared" si="16"/>
        <v>15971.132818634796</v>
      </c>
      <c r="L55" s="11">
        <f t="shared" si="16"/>
        <v>17636.291906609407</v>
      </c>
      <c r="M55" s="11">
        <f t="shared" si="16"/>
        <v>17308.943532759939</v>
      </c>
      <c r="N55" s="11">
        <f t="shared" si="16"/>
        <v>17111.31984045943</v>
      </c>
    </row>
    <row r="56" spans="1:15" ht="15" thickBot="1"/>
    <row r="57" spans="1:15" ht="15" thickBot="1">
      <c r="A57" s="81" t="s">
        <v>279</v>
      </c>
      <c r="B57" s="82"/>
      <c r="C57" s="82" t="s">
        <v>96</v>
      </c>
      <c r="D57" s="82"/>
      <c r="E57" s="82" t="s">
        <v>86</v>
      </c>
      <c r="F57" s="82" t="s">
        <v>87</v>
      </c>
      <c r="G57" s="82" t="s">
        <v>88</v>
      </c>
      <c r="H57" s="82" t="s">
        <v>89</v>
      </c>
      <c r="I57" s="82" t="s">
        <v>90</v>
      </c>
      <c r="J57" s="82" t="s">
        <v>91</v>
      </c>
      <c r="K57" s="82" t="s">
        <v>92</v>
      </c>
      <c r="L57" s="82" t="s">
        <v>93</v>
      </c>
      <c r="M57" s="82" t="s">
        <v>94</v>
      </c>
      <c r="N57" s="82" t="s">
        <v>95</v>
      </c>
    </row>
    <row r="58" spans="1:15" ht="15" thickBot="1">
      <c r="A58" s="43" t="s">
        <v>280</v>
      </c>
      <c r="C58" s="3"/>
      <c r="E58" s="3"/>
      <c r="F58" s="3"/>
      <c r="G58" s="3"/>
      <c r="H58" s="3"/>
      <c r="I58" s="3"/>
      <c r="J58" s="3"/>
      <c r="K58" s="3"/>
      <c r="L58" s="3"/>
      <c r="M58" s="3"/>
      <c r="N58" s="3"/>
      <c r="O58" s="83"/>
    </row>
    <row r="59" spans="1:15" ht="15" thickBot="1">
      <c r="A59" s="4" t="s">
        <v>281</v>
      </c>
      <c r="C59" s="54">
        <f>C$55</f>
        <v>10386.642112000001</v>
      </c>
      <c r="E59" s="54">
        <f t="shared" ref="E59:N59" si="17">E$55</f>
        <v>9661.322140000002</v>
      </c>
      <c r="F59" s="54">
        <f t="shared" si="17"/>
        <v>9810.7211299999981</v>
      </c>
      <c r="G59" s="54">
        <f t="shared" si="17"/>
        <v>12374.457399999998</v>
      </c>
      <c r="H59" s="54">
        <f t="shared" si="17"/>
        <v>11891.400425797947</v>
      </c>
      <c r="I59" s="54">
        <f t="shared" si="17"/>
        <v>10967.876854634709</v>
      </c>
      <c r="J59" s="54">
        <f t="shared" si="17"/>
        <v>13625.537581819664</v>
      </c>
      <c r="K59" s="54">
        <f t="shared" si="17"/>
        <v>15971.132818634796</v>
      </c>
      <c r="L59" s="54">
        <f t="shared" si="17"/>
        <v>17636.291906609407</v>
      </c>
      <c r="M59" s="54">
        <f t="shared" si="17"/>
        <v>17308.943532759939</v>
      </c>
      <c r="N59" s="54">
        <f t="shared" si="17"/>
        <v>17111.31984045943</v>
      </c>
    </row>
    <row r="60" spans="1:15" ht="15" thickBot="1">
      <c r="A60" s="4" t="s">
        <v>282</v>
      </c>
      <c r="C60" s="54"/>
      <c r="E60" s="54"/>
      <c r="F60" s="54"/>
      <c r="G60" s="54"/>
      <c r="H60" s="54"/>
      <c r="I60" s="54"/>
      <c r="J60" s="54"/>
      <c r="K60" s="54"/>
      <c r="L60" s="54"/>
      <c r="M60" s="54"/>
      <c r="N60" s="54"/>
    </row>
    <row r="61" spans="1:15" ht="15" thickBot="1">
      <c r="A61" s="85" t="s">
        <v>283</v>
      </c>
      <c r="C61" s="10">
        <f>SUM(C59:C60)</f>
        <v>10386.642112000001</v>
      </c>
      <c r="E61" s="10">
        <f t="shared" ref="E61:N61" si="18">SUM(E59:E60)</f>
        <v>9661.322140000002</v>
      </c>
      <c r="F61" s="10">
        <f t="shared" si="18"/>
        <v>9810.7211299999981</v>
      </c>
      <c r="G61" s="10">
        <f t="shared" si="18"/>
        <v>12374.457399999998</v>
      </c>
      <c r="H61" s="10">
        <f t="shared" si="18"/>
        <v>11891.400425797947</v>
      </c>
      <c r="I61" s="10">
        <f t="shared" si="18"/>
        <v>10967.876854634709</v>
      </c>
      <c r="J61" s="10">
        <f t="shared" si="18"/>
        <v>13625.537581819664</v>
      </c>
      <c r="K61" s="10">
        <f t="shared" si="18"/>
        <v>15971.132818634796</v>
      </c>
      <c r="L61" s="10">
        <f t="shared" si="18"/>
        <v>17636.291906609407</v>
      </c>
      <c r="M61" s="10">
        <f t="shared" si="18"/>
        <v>17308.943532759939</v>
      </c>
      <c r="N61" s="10">
        <f t="shared" si="18"/>
        <v>17111.31984045943</v>
      </c>
    </row>
    <row r="62" spans="1:15" ht="5.25" customHeight="1" thickBot="1">
      <c r="A62" s="4"/>
      <c r="C62" s="54"/>
      <c r="E62" s="89"/>
      <c r="F62" s="89"/>
      <c r="G62" s="89"/>
      <c r="H62" s="89"/>
      <c r="I62" s="89"/>
      <c r="J62" s="89"/>
      <c r="K62" s="89"/>
      <c r="L62" s="89"/>
      <c r="M62" s="89"/>
      <c r="N62" s="89"/>
    </row>
    <row r="63" spans="1:15" ht="15" thickBot="1">
      <c r="A63" s="43" t="s">
        <v>284</v>
      </c>
      <c r="C63" s="3"/>
      <c r="E63" s="3"/>
      <c r="F63" s="3"/>
      <c r="G63" s="3"/>
      <c r="H63" s="3"/>
      <c r="I63" s="3"/>
      <c r="J63" s="3"/>
      <c r="K63" s="3"/>
      <c r="L63" s="3"/>
      <c r="M63" s="3"/>
      <c r="N63" s="3"/>
      <c r="O63" s="83"/>
    </row>
    <row r="64" spans="1:15" ht="15" thickBot="1">
      <c r="A64" s="4" t="s">
        <v>282</v>
      </c>
      <c r="C64" s="54"/>
      <c r="E64" s="54"/>
      <c r="F64" s="54"/>
      <c r="G64" s="54"/>
      <c r="H64" s="54">
        <f>-H32</f>
        <v>-2268.0687586658178</v>
      </c>
      <c r="I64" s="54"/>
      <c r="J64" s="54"/>
      <c r="K64" s="54"/>
      <c r="L64" s="54"/>
      <c r="M64" s="54"/>
      <c r="N64" s="54"/>
    </row>
    <row r="65" spans="1:15" ht="15" thickBot="1">
      <c r="A65" s="4" t="s">
        <v>183</v>
      </c>
      <c r="C65" s="54">
        <f>-SUM(C$28:C$30)</f>
        <v>-22372.273310000004</v>
      </c>
      <c r="E65" s="54">
        <f t="shared" ref="E65:N65" si="19">-SUM(E$28:E$30)</f>
        <v>-13138.63176</v>
      </c>
      <c r="F65" s="54">
        <f t="shared" si="19"/>
        <v>-20155.893280000004</v>
      </c>
      <c r="G65" s="54">
        <f t="shared" si="19"/>
        <v>-27140.105770000002</v>
      </c>
      <c r="H65" s="54">
        <f t="shared" si="19"/>
        <v>-31146.391759999999</v>
      </c>
      <c r="I65" s="54">
        <f t="shared" si="19"/>
        <v>-29628.139919999998</v>
      </c>
      <c r="J65" s="54">
        <f t="shared" si="19"/>
        <v>-19547.855328596444</v>
      </c>
      <c r="K65" s="54">
        <f t="shared" si="19"/>
        <v>-18029.562846340083</v>
      </c>
      <c r="L65" s="54">
        <f t="shared" si="19"/>
        <v>-19329.667791410862</v>
      </c>
      <c r="M65" s="54">
        <f t="shared" si="19"/>
        <v>-14408.313635666365</v>
      </c>
      <c r="N65" s="54">
        <f t="shared" si="19"/>
        <v>-16764.528350142646</v>
      </c>
    </row>
    <row r="66" spans="1:15" ht="15" thickBot="1">
      <c r="A66" s="85" t="s">
        <v>285</v>
      </c>
      <c r="C66" s="10">
        <f>SUM(C64:C65)</f>
        <v>-22372.273310000004</v>
      </c>
      <c r="E66" s="10">
        <f t="shared" ref="E66:N66" si="20">SUM(E64:E65)</f>
        <v>-13138.63176</v>
      </c>
      <c r="F66" s="10">
        <f t="shared" si="20"/>
        <v>-20155.893280000004</v>
      </c>
      <c r="G66" s="10">
        <f t="shared" si="20"/>
        <v>-27140.105770000002</v>
      </c>
      <c r="H66" s="10">
        <f t="shared" si="20"/>
        <v>-33414.460518665815</v>
      </c>
      <c r="I66" s="10">
        <f t="shared" si="20"/>
        <v>-29628.139919999998</v>
      </c>
      <c r="J66" s="10">
        <f t="shared" si="20"/>
        <v>-19547.855328596444</v>
      </c>
      <c r="K66" s="10">
        <f t="shared" si="20"/>
        <v>-18029.562846340083</v>
      </c>
      <c r="L66" s="10">
        <f t="shared" si="20"/>
        <v>-19329.667791410862</v>
      </c>
      <c r="M66" s="10">
        <f t="shared" si="20"/>
        <v>-14408.313635666365</v>
      </c>
      <c r="N66" s="10">
        <f t="shared" si="20"/>
        <v>-16764.528350142646</v>
      </c>
    </row>
    <row r="67" spans="1:15" ht="5.25" customHeight="1" thickBot="1">
      <c r="A67" s="4"/>
      <c r="C67" s="54"/>
      <c r="E67" s="89"/>
      <c r="F67" s="89"/>
      <c r="G67" s="89"/>
      <c r="H67" s="89"/>
      <c r="I67" s="89"/>
      <c r="J67" s="89"/>
      <c r="K67" s="89"/>
      <c r="L67" s="89"/>
      <c r="M67" s="89"/>
      <c r="N67" s="89"/>
    </row>
    <row r="68" spans="1:15" ht="15" thickBot="1">
      <c r="A68" s="43" t="s">
        <v>286</v>
      </c>
      <c r="C68" s="3"/>
      <c r="E68" s="3"/>
      <c r="F68" s="3"/>
      <c r="G68" s="3"/>
      <c r="H68" s="3"/>
      <c r="I68" s="3"/>
      <c r="J68" s="3"/>
      <c r="K68" s="3"/>
      <c r="L68" s="3"/>
      <c r="M68" s="3"/>
      <c r="N68" s="3"/>
      <c r="O68" s="83"/>
    </row>
    <row r="69" spans="1:15" ht="15" thickBot="1">
      <c r="A69" s="4" t="s">
        <v>287</v>
      </c>
      <c r="C69" s="54">
        <f>C$22-C$70</f>
        <v>4107.2</v>
      </c>
      <c r="E69" s="54">
        <f>E$22-E$70-E31</f>
        <v>3477.3096999999993</v>
      </c>
      <c r="F69" s="54">
        <f t="shared" ref="F69:N69" si="21">F$22-F$70-F31</f>
        <v>10345.11227</v>
      </c>
      <c r="G69" s="54">
        <f t="shared" si="21"/>
        <v>14765.648490000001</v>
      </c>
      <c r="H69" s="54">
        <f t="shared" si="21"/>
        <v>21523.372182867868</v>
      </c>
      <c r="I69" s="54">
        <f t="shared" si="21"/>
        <v>18660.263145365301</v>
      </c>
      <c r="J69" s="54">
        <f t="shared" si="21"/>
        <v>5922.3178267767844</v>
      </c>
      <c r="K69" s="54">
        <f t="shared" si="21"/>
        <v>2058.6027527477172</v>
      </c>
      <c r="L69" s="54">
        <f t="shared" si="21"/>
        <v>1693.3867277119084</v>
      </c>
      <c r="M69" s="54">
        <f t="shared" si="21"/>
        <v>-2900.6128587108619</v>
      </c>
      <c r="N69" s="54">
        <f t="shared" si="21"/>
        <v>-346.76710143808123</v>
      </c>
    </row>
    <row r="70" spans="1:15" ht="15" thickBot="1">
      <c r="A70" s="4" t="s">
        <v>288</v>
      </c>
      <c r="C70" s="54"/>
      <c r="E70" s="54"/>
      <c r="F70" s="54"/>
      <c r="G70" s="54"/>
      <c r="H70" s="54"/>
      <c r="I70" s="54"/>
      <c r="J70" s="54"/>
      <c r="K70" s="54"/>
      <c r="L70" s="54"/>
      <c r="M70" s="54"/>
      <c r="N70" s="54"/>
    </row>
    <row r="71" spans="1:15" ht="15" thickBot="1">
      <c r="A71" s="85" t="s">
        <v>289</v>
      </c>
      <c r="C71" s="10">
        <f>SUM(C69:C70)</f>
        <v>4107.2</v>
      </c>
      <c r="E71" s="10">
        <f t="shared" ref="E71:N71" si="22">SUM(E69:E70)</f>
        <v>3477.3096999999993</v>
      </c>
      <c r="F71" s="10">
        <f t="shared" si="22"/>
        <v>10345.11227</v>
      </c>
      <c r="G71" s="10">
        <f t="shared" si="22"/>
        <v>14765.648490000001</v>
      </c>
      <c r="H71" s="10">
        <f t="shared" si="22"/>
        <v>21523.372182867868</v>
      </c>
      <c r="I71" s="10">
        <f t="shared" si="22"/>
        <v>18660.263145365301</v>
      </c>
      <c r="J71" s="10">
        <f t="shared" si="22"/>
        <v>5922.3178267767844</v>
      </c>
      <c r="K71" s="10">
        <f t="shared" si="22"/>
        <v>2058.6027527477172</v>
      </c>
      <c r="L71" s="10">
        <f t="shared" si="22"/>
        <v>1693.3867277119084</v>
      </c>
      <c r="M71" s="10">
        <f t="shared" si="22"/>
        <v>-2900.6128587108619</v>
      </c>
      <c r="N71" s="10">
        <f t="shared" si="22"/>
        <v>-346.76710143808123</v>
      </c>
    </row>
    <row r="72" spans="1:15" ht="5.25" customHeight="1" thickBot="1">
      <c r="A72" s="4"/>
      <c r="C72" s="89"/>
      <c r="E72" s="89"/>
      <c r="F72" s="89"/>
      <c r="G72" s="89"/>
      <c r="H72" s="89"/>
      <c r="I72" s="89"/>
      <c r="J72" s="89"/>
      <c r="K72" s="89"/>
      <c r="L72" s="89"/>
      <c r="M72" s="89"/>
      <c r="N72" s="89"/>
    </row>
    <row r="73" spans="1:15" ht="15" thickBot="1">
      <c r="A73" s="85" t="s">
        <v>290</v>
      </c>
      <c r="C73" s="11">
        <f>C61+C66+C71</f>
        <v>-7878.431198000003</v>
      </c>
      <c r="E73" s="11">
        <f t="shared" ref="E73:N73" si="23">E61+E66+E71</f>
        <v>8.0000001162261469E-5</v>
      </c>
      <c r="F73" s="11">
        <f t="shared" si="23"/>
        <v>-5.9880000006160117E-2</v>
      </c>
      <c r="G73" s="11">
        <f t="shared" si="23"/>
        <v>1.1999999696854502E-4</v>
      </c>
      <c r="H73" s="11">
        <f t="shared" si="23"/>
        <v>0.31208999999944353</v>
      </c>
      <c r="I73" s="11">
        <f t="shared" si="23"/>
        <v>8.0000012530945241E-5</v>
      </c>
      <c r="J73" s="11">
        <f t="shared" si="23"/>
        <v>8.0000004345492925E-5</v>
      </c>
      <c r="K73" s="11">
        <f t="shared" si="23"/>
        <v>0.17272504243101139</v>
      </c>
      <c r="L73" s="11">
        <f t="shared" si="23"/>
        <v>1.0842910453447985E-2</v>
      </c>
      <c r="M73" s="11">
        <f t="shared" si="23"/>
        <v>1.703838271123459E-2</v>
      </c>
      <c r="N73" s="11">
        <f t="shared" si="23"/>
        <v>2.4388878702666261E-2</v>
      </c>
    </row>
    <row r="74" spans="1:15" ht="5.25" customHeight="1" thickBot="1">
      <c r="A74" s="4"/>
      <c r="C74" s="89"/>
      <c r="E74" s="89"/>
      <c r="F74" s="89"/>
      <c r="G74" s="89"/>
      <c r="H74" s="89"/>
      <c r="I74" s="89"/>
      <c r="J74" s="89"/>
      <c r="K74" s="89"/>
      <c r="L74" s="89"/>
      <c r="M74" s="89"/>
      <c r="N74" s="89"/>
    </row>
    <row r="75" spans="1:15" ht="15" thickBot="1">
      <c r="A75" s="85" t="s">
        <v>291</v>
      </c>
      <c r="C75" s="10">
        <f>C76-C73</f>
        <v>-8848.568801999998</v>
      </c>
      <c r="E75" s="11">
        <f>C76</f>
        <v>-16727</v>
      </c>
      <c r="F75" s="11">
        <f t="shared" ref="F75:N75" si="24">E76</f>
        <v>-16726.999919999998</v>
      </c>
      <c r="G75" s="11">
        <f t="shared" si="24"/>
        <v>-16727.059800000003</v>
      </c>
      <c r="H75" s="11">
        <f t="shared" si="24"/>
        <v>-16727.059680000006</v>
      </c>
      <c r="I75" s="11">
        <f t="shared" si="24"/>
        <v>-16726.747590000006</v>
      </c>
      <c r="J75" s="11">
        <f t="shared" si="24"/>
        <v>-16726.747509999994</v>
      </c>
      <c r="K75" s="11">
        <f t="shared" si="24"/>
        <v>-16726.747429999989</v>
      </c>
      <c r="L75" s="11">
        <f t="shared" si="24"/>
        <v>-16726.574704957558</v>
      </c>
      <c r="M75" s="11">
        <f t="shared" si="24"/>
        <v>-16726.563862047104</v>
      </c>
      <c r="N75" s="11">
        <f t="shared" si="24"/>
        <v>-16726.546823664394</v>
      </c>
    </row>
    <row r="76" spans="1:15" ht="15" thickBot="1">
      <c r="A76" s="85" t="s">
        <v>292</v>
      </c>
      <c r="C76" s="11">
        <f>C80</f>
        <v>-16727</v>
      </c>
      <c r="E76" s="11">
        <f t="shared" ref="E76:N76" si="25">E73+E75</f>
        <v>-16726.999919999998</v>
      </c>
      <c r="F76" s="11">
        <f t="shared" si="25"/>
        <v>-16727.059800000003</v>
      </c>
      <c r="G76" s="11">
        <f t="shared" si="25"/>
        <v>-16727.059680000006</v>
      </c>
      <c r="H76" s="11">
        <f t="shared" si="25"/>
        <v>-16726.747590000006</v>
      </c>
      <c r="I76" s="11">
        <f t="shared" si="25"/>
        <v>-16726.747509999994</v>
      </c>
      <c r="J76" s="11">
        <f t="shared" si="25"/>
        <v>-16726.747429999989</v>
      </c>
      <c r="K76" s="11">
        <f t="shared" si="25"/>
        <v>-16726.574704957558</v>
      </c>
      <c r="L76" s="11">
        <f t="shared" si="25"/>
        <v>-16726.563862047104</v>
      </c>
      <c r="M76" s="11">
        <f t="shared" si="25"/>
        <v>-16726.546823664394</v>
      </c>
      <c r="N76" s="11">
        <f t="shared" si="25"/>
        <v>-16726.522434785693</v>
      </c>
    </row>
    <row r="77" spans="1:15" ht="15" thickBot="1"/>
    <row r="78" spans="1:15" ht="15" thickBot="1">
      <c r="A78" s="81" t="s">
        <v>293</v>
      </c>
      <c r="B78" s="82"/>
      <c r="C78" s="82" t="s">
        <v>96</v>
      </c>
      <c r="D78" s="82"/>
      <c r="E78" s="82" t="s">
        <v>86</v>
      </c>
      <c r="F78" s="82" t="s">
        <v>87</v>
      </c>
      <c r="G78" s="82" t="s">
        <v>88</v>
      </c>
      <c r="H78" s="82" t="s">
        <v>89</v>
      </c>
      <c r="I78" s="82" t="s">
        <v>90</v>
      </c>
      <c r="J78" s="82" t="s">
        <v>91</v>
      </c>
      <c r="K78" s="82" t="s">
        <v>92</v>
      </c>
      <c r="L78" s="82" t="s">
        <v>93</v>
      </c>
      <c r="M78" s="82" t="s">
        <v>94</v>
      </c>
      <c r="N78" s="82" t="s">
        <v>95</v>
      </c>
      <c r="O78" s="83"/>
    </row>
    <row r="79" spans="1:15" ht="15" thickBot="1">
      <c r="A79" s="43" t="s">
        <v>294</v>
      </c>
      <c r="C79" s="3"/>
      <c r="E79" s="3"/>
      <c r="F79" s="3"/>
      <c r="G79" s="3"/>
      <c r="H79" s="3"/>
      <c r="I79" s="3"/>
      <c r="J79" s="3"/>
      <c r="K79" s="3"/>
      <c r="L79" s="3"/>
      <c r="M79" s="3"/>
      <c r="N79" s="3"/>
      <c r="O79" s="83"/>
    </row>
    <row r="80" spans="1:15" ht="15" thickBot="1">
      <c r="A80" s="4" t="s">
        <v>295</v>
      </c>
      <c r="C80" s="54">
        <f>Input!$D$9</f>
        <v>-16727</v>
      </c>
      <c r="E80" s="54">
        <f t="shared" ref="E80:N80" si="26">E76</f>
        <v>-16726.999919999998</v>
      </c>
      <c r="F80" s="54">
        <f t="shared" si="26"/>
        <v>-16727.059800000003</v>
      </c>
      <c r="G80" s="54">
        <f t="shared" si="26"/>
        <v>-16727.059680000006</v>
      </c>
      <c r="H80" s="54">
        <f t="shared" si="26"/>
        <v>-16726.747590000006</v>
      </c>
      <c r="I80" s="54">
        <f t="shared" si="26"/>
        <v>-16726.747509999994</v>
      </c>
      <c r="J80" s="54">
        <f t="shared" si="26"/>
        <v>-16726.747429999989</v>
      </c>
      <c r="K80" s="54">
        <f t="shared" si="26"/>
        <v>-16726.574704957558</v>
      </c>
      <c r="L80" s="54">
        <f t="shared" si="26"/>
        <v>-16726.563862047104</v>
      </c>
      <c r="M80" s="54">
        <f t="shared" si="26"/>
        <v>-16726.546823664394</v>
      </c>
      <c r="N80" s="54">
        <f t="shared" si="26"/>
        <v>-16726.522434785693</v>
      </c>
    </row>
    <row r="81" spans="1:15" ht="15" thickBot="1">
      <c r="A81" s="4" t="s">
        <v>296</v>
      </c>
      <c r="C81" s="54"/>
      <c r="E81" s="54"/>
      <c r="F81" s="54"/>
      <c r="G81" s="54"/>
      <c r="H81" s="54"/>
      <c r="I81" s="54"/>
      <c r="J81" s="54"/>
      <c r="K81" s="54"/>
      <c r="L81" s="54"/>
      <c r="M81" s="54"/>
      <c r="N81" s="54"/>
    </row>
    <row r="82" spans="1:15" ht="15" thickBot="1">
      <c r="A82" s="4" t="s">
        <v>297</v>
      </c>
      <c r="C82" s="54">
        <f>Input!$D$7-Input!$D$8</f>
        <v>291803.94500000001</v>
      </c>
      <c r="E82" s="54">
        <f>$C$82-E$47+SUM(E$28:E$30)+E$52</f>
        <v>300777.81092800002</v>
      </c>
      <c r="F82" s="54">
        <f t="shared" ref="F82:N82" si="27">E$82-F$47+SUM(F$28:F$30)+F$52</f>
        <v>321789.22225155204</v>
      </c>
      <c r="G82" s="54">
        <f t="shared" si="27"/>
        <v>346194.06408563757</v>
      </c>
      <c r="H82" s="54">
        <f t="shared" si="27"/>
        <v>377117.27454762172</v>
      </c>
      <c r="I82" s="54">
        <f t="shared" si="27"/>
        <v>405510.01393569604</v>
      </c>
      <c r="J82" s="54">
        <f t="shared" si="27"/>
        <v>423514.598238551</v>
      </c>
      <c r="K82" s="54">
        <f t="shared" si="27"/>
        <v>440089.98266517505</v>
      </c>
      <c r="L82" s="54">
        <f t="shared" si="27"/>
        <v>456887.67316234292</v>
      </c>
      <c r="M82" s="54">
        <f t="shared" si="27"/>
        <v>469768.93188907939</v>
      </c>
      <c r="N82" s="54">
        <f t="shared" si="27"/>
        <v>483796.43078080873</v>
      </c>
    </row>
    <row r="83" spans="1:15" ht="15" thickBot="1">
      <c r="A83" s="4" t="s">
        <v>298</v>
      </c>
      <c r="C83" s="54"/>
      <c r="E83" s="54">
        <f>C83-E64</f>
        <v>0</v>
      </c>
      <c r="F83" s="54">
        <f>E83-F64</f>
        <v>0</v>
      </c>
      <c r="G83" s="54">
        <f t="shared" ref="G83:N83" si="28">F83-G64</f>
        <v>0</v>
      </c>
      <c r="H83" s="54">
        <f t="shared" si="28"/>
        <v>2268.0687586658178</v>
      </c>
      <c r="I83" s="54">
        <f t="shared" si="28"/>
        <v>2268.0687586658178</v>
      </c>
      <c r="J83" s="54">
        <f t="shared" si="28"/>
        <v>2268.0687586658178</v>
      </c>
      <c r="K83" s="54">
        <f t="shared" si="28"/>
        <v>2268.0687586658178</v>
      </c>
      <c r="L83" s="54">
        <f t="shared" si="28"/>
        <v>2268.0687586658178</v>
      </c>
      <c r="M83" s="54">
        <f t="shared" si="28"/>
        <v>2268.0687586658178</v>
      </c>
      <c r="N83" s="54">
        <f t="shared" si="28"/>
        <v>2268.0687586658178</v>
      </c>
    </row>
    <row r="84" spans="1:15" ht="15" thickBot="1">
      <c r="A84" s="85" t="s">
        <v>299</v>
      </c>
      <c r="C84" s="11">
        <f>SUM(C80:C83)</f>
        <v>275076.94500000001</v>
      </c>
      <c r="E84" s="11">
        <f t="shared" ref="E84:N84" si="29">SUM(E80:E83)</f>
        <v>284050.81100800005</v>
      </c>
      <c r="F84" s="11">
        <f t="shared" si="29"/>
        <v>305062.16245155205</v>
      </c>
      <c r="G84" s="11">
        <f t="shared" si="29"/>
        <v>329467.00440563756</v>
      </c>
      <c r="H84" s="11">
        <f t="shared" si="29"/>
        <v>362658.59571628756</v>
      </c>
      <c r="I84" s="11">
        <f t="shared" si="29"/>
        <v>391051.33518436184</v>
      </c>
      <c r="J84" s="11">
        <f t="shared" si="29"/>
        <v>409055.91956721683</v>
      </c>
      <c r="K84" s="11">
        <f t="shared" si="29"/>
        <v>425631.47671888332</v>
      </c>
      <c r="L84" s="11">
        <f t="shared" si="29"/>
        <v>442429.17805896164</v>
      </c>
      <c r="M84" s="11">
        <f t="shared" si="29"/>
        <v>455310.45382408082</v>
      </c>
      <c r="N84" s="11">
        <f t="shared" si="29"/>
        <v>469337.97710468888</v>
      </c>
    </row>
    <row r="85" spans="1:15" ht="5.25" customHeight="1" thickBot="1">
      <c r="A85" s="4"/>
      <c r="C85" s="89"/>
      <c r="E85" s="89"/>
      <c r="F85" s="89"/>
      <c r="G85" s="89"/>
      <c r="H85" s="89"/>
      <c r="I85" s="89"/>
      <c r="J85" s="89"/>
      <c r="K85" s="89"/>
      <c r="L85" s="89"/>
      <c r="M85" s="89"/>
      <c r="N85" s="89"/>
    </row>
    <row r="86" spans="1:15" ht="15" thickBot="1">
      <c r="A86" s="43" t="s">
        <v>300</v>
      </c>
      <c r="C86" s="3"/>
      <c r="E86" s="3"/>
      <c r="F86" s="3"/>
      <c r="G86" s="3"/>
      <c r="H86" s="3"/>
      <c r="I86" s="3"/>
      <c r="J86" s="3"/>
      <c r="K86" s="3"/>
      <c r="L86" s="3"/>
      <c r="M86" s="3"/>
      <c r="N86" s="3"/>
      <c r="O86" s="83"/>
    </row>
    <row r="87" spans="1:15" ht="15" thickBot="1">
      <c r="A87" s="4" t="s">
        <v>301</v>
      </c>
      <c r="C87" s="54"/>
      <c r="E87" s="54"/>
      <c r="F87" s="54"/>
      <c r="G87" s="54"/>
      <c r="H87" s="54"/>
      <c r="I87" s="54"/>
      <c r="J87" s="54"/>
      <c r="K87" s="54"/>
      <c r="L87" s="54"/>
      <c r="M87" s="54"/>
      <c r="N87" s="54"/>
    </row>
    <row r="88" spans="1:15" ht="15" thickBot="1">
      <c r="A88" s="4" t="s">
        <v>302</v>
      </c>
      <c r="C88" s="54"/>
      <c r="E88" s="54"/>
      <c r="F88" s="54"/>
      <c r="G88" s="54"/>
      <c r="H88" s="54"/>
      <c r="I88" s="54"/>
      <c r="J88" s="54"/>
      <c r="K88" s="54"/>
      <c r="L88" s="54"/>
      <c r="M88" s="54"/>
      <c r="N88" s="54"/>
    </row>
    <row r="89" spans="1:15" ht="15" thickBot="1">
      <c r="A89" s="4" t="s">
        <v>303</v>
      </c>
      <c r="C89" s="54">
        <f>Input!$D$10-C$87</f>
        <v>79408.2</v>
      </c>
      <c r="E89" s="54">
        <f>$C$89+E69+E70</f>
        <v>82885.509699999995</v>
      </c>
      <c r="F89" s="54">
        <f t="shared" ref="F89:N89" si="30">E$89+F69+F70</f>
        <v>93230.621969999993</v>
      </c>
      <c r="G89" s="54">
        <f t="shared" si="30"/>
        <v>107996.27046</v>
      </c>
      <c r="H89" s="54">
        <f t="shared" si="30"/>
        <v>129519.64264286787</v>
      </c>
      <c r="I89" s="54">
        <f t="shared" si="30"/>
        <v>148179.90578823315</v>
      </c>
      <c r="J89" s="54">
        <f t="shared" si="30"/>
        <v>154102.22361500995</v>
      </c>
      <c r="K89" s="54">
        <f t="shared" si="30"/>
        <v>156160.82636775766</v>
      </c>
      <c r="L89" s="54">
        <f t="shared" si="30"/>
        <v>157854.21309546957</v>
      </c>
      <c r="M89" s="54">
        <f t="shared" si="30"/>
        <v>154953.60023675871</v>
      </c>
      <c r="N89" s="54">
        <f t="shared" si="30"/>
        <v>154606.83313532063</v>
      </c>
    </row>
    <row r="90" spans="1:15" ht="15" thickBot="1">
      <c r="A90" s="4" t="s">
        <v>304</v>
      </c>
      <c r="C90" s="54"/>
      <c r="E90" s="54"/>
      <c r="F90" s="54"/>
      <c r="G90" s="54"/>
      <c r="H90" s="54"/>
      <c r="I90" s="54"/>
      <c r="J90" s="54"/>
      <c r="K90" s="54"/>
      <c r="L90" s="54"/>
      <c r="M90" s="54"/>
      <c r="N90" s="54"/>
    </row>
    <row r="91" spans="1:15" ht="15" thickBot="1">
      <c r="A91" s="85" t="s">
        <v>305</v>
      </c>
      <c r="C91" s="11">
        <f>SUM(C87:C90)</f>
        <v>79408.2</v>
      </c>
      <c r="E91" s="10">
        <f t="shared" ref="E91:N91" si="31">SUM(E87:E90)</f>
        <v>82885.509699999995</v>
      </c>
      <c r="F91" s="11">
        <f t="shared" si="31"/>
        <v>93230.621969999993</v>
      </c>
      <c r="G91" s="11">
        <f t="shared" si="31"/>
        <v>107996.27046</v>
      </c>
      <c r="H91" s="11">
        <f t="shared" si="31"/>
        <v>129519.64264286787</v>
      </c>
      <c r="I91" s="11">
        <f t="shared" si="31"/>
        <v>148179.90578823315</v>
      </c>
      <c r="J91" s="11">
        <f t="shared" si="31"/>
        <v>154102.22361500995</v>
      </c>
      <c r="K91" s="11">
        <f t="shared" si="31"/>
        <v>156160.82636775766</v>
      </c>
      <c r="L91" s="11">
        <f t="shared" si="31"/>
        <v>157854.21309546957</v>
      </c>
      <c r="M91" s="11">
        <f t="shared" si="31"/>
        <v>154953.60023675871</v>
      </c>
      <c r="N91" s="11">
        <f t="shared" si="31"/>
        <v>154606.83313532063</v>
      </c>
    </row>
    <row r="92" spans="1:15" ht="5.25" customHeight="1" thickBot="1">
      <c r="A92" s="4"/>
      <c r="C92" s="54"/>
      <c r="E92" s="54"/>
      <c r="F92" s="89"/>
      <c r="G92" s="89"/>
      <c r="H92" s="89"/>
      <c r="I92" s="89"/>
      <c r="J92" s="89"/>
      <c r="K92" s="89"/>
      <c r="L92" s="89"/>
      <c r="M92" s="89"/>
      <c r="N92" s="89"/>
    </row>
    <row r="93" spans="1:15" ht="15" thickBot="1">
      <c r="A93" s="85" t="s">
        <v>306</v>
      </c>
      <c r="C93" s="11">
        <f>C84-C91</f>
        <v>195668.745</v>
      </c>
      <c r="E93" s="11">
        <f t="shared" ref="E93:N93" si="32">E84-E91</f>
        <v>201165.30130800005</v>
      </c>
      <c r="F93" s="11">
        <f t="shared" si="32"/>
        <v>211831.54048155207</v>
      </c>
      <c r="G93" s="11">
        <f t="shared" si="32"/>
        <v>221470.73394563756</v>
      </c>
      <c r="H93" s="11">
        <f t="shared" si="32"/>
        <v>233138.95307341969</v>
      </c>
      <c r="I93" s="11">
        <f t="shared" si="32"/>
        <v>242871.42939612869</v>
      </c>
      <c r="J93" s="11">
        <f t="shared" si="32"/>
        <v>254953.69595220688</v>
      </c>
      <c r="K93" s="11">
        <f t="shared" si="32"/>
        <v>269470.65035112563</v>
      </c>
      <c r="L93" s="11">
        <f t="shared" si="32"/>
        <v>284574.96496349206</v>
      </c>
      <c r="M93" s="11">
        <f t="shared" si="32"/>
        <v>300356.85358732211</v>
      </c>
      <c r="N93" s="11">
        <f t="shared" si="32"/>
        <v>314731.14396936825</v>
      </c>
    </row>
    <row r="94" spans="1:15" ht="5.25" customHeight="1" thickBot="1">
      <c r="A94" s="4"/>
      <c r="C94" s="89"/>
      <c r="E94" s="89"/>
      <c r="F94" s="89"/>
      <c r="G94" s="89"/>
      <c r="H94" s="89"/>
      <c r="I94" s="89"/>
      <c r="J94" s="89"/>
      <c r="K94" s="89"/>
      <c r="L94" s="89"/>
      <c r="M94" s="89"/>
      <c r="N94" s="89"/>
    </row>
    <row r="95" spans="1:15" ht="15" thickBot="1">
      <c r="A95" s="43" t="s">
        <v>307</v>
      </c>
      <c r="C95" s="3"/>
      <c r="E95" s="3"/>
      <c r="F95" s="3"/>
      <c r="G95" s="3"/>
      <c r="H95" s="3"/>
      <c r="I95" s="3"/>
      <c r="J95" s="3"/>
      <c r="K95" s="3"/>
      <c r="L95" s="3"/>
      <c r="M95" s="3"/>
      <c r="N95" s="3"/>
      <c r="O95" s="83"/>
    </row>
    <row r="96" spans="1:15" ht="15" thickBot="1">
      <c r="A96" s="4" t="s">
        <v>308</v>
      </c>
      <c r="C96" s="54">
        <f>Input!$D$12</f>
        <v>0</v>
      </c>
      <c r="E96" s="54">
        <f>$C$96+E$52</f>
        <v>3298.4613480000035</v>
      </c>
      <c r="F96" s="54">
        <f t="shared" ref="F96:N96" si="33">E$96+F$52</f>
        <v>12143.988081552001</v>
      </c>
      <c r="G96" s="54">
        <f t="shared" si="33"/>
        <v>18453.908555637521</v>
      </c>
      <c r="H96" s="54">
        <f t="shared" si="33"/>
        <v>27746.998617621673</v>
      </c>
      <c r="I96" s="54">
        <f t="shared" si="33"/>
        <v>36834.461555695991</v>
      </c>
      <c r="J96" s="54">
        <f t="shared" si="33"/>
        <v>46608.355519954552</v>
      </c>
      <c r="K96" s="54">
        <f t="shared" si="33"/>
        <v>57169.151111435844</v>
      </c>
      <c r="L96" s="54">
        <f t="shared" si="33"/>
        <v>67199.137628273631</v>
      </c>
      <c r="M96" s="54">
        <f t="shared" si="33"/>
        <v>78788.97778250993</v>
      </c>
      <c r="N96" s="54">
        <f t="shared" si="33"/>
        <v>89377.280297182428</v>
      </c>
    </row>
    <row r="97" spans="1:14" ht="15" thickBot="1">
      <c r="A97" s="4" t="s">
        <v>309</v>
      </c>
      <c r="C97" s="54">
        <f>$C$93-$C$96</f>
        <v>195668.745</v>
      </c>
      <c r="E97" s="54">
        <f>$C$97+E$50</f>
        <v>197866.83996000001</v>
      </c>
      <c r="F97" s="54">
        <f t="shared" ref="F97:N97" si="34">E$97+F$50</f>
        <v>199687.55240000002</v>
      </c>
      <c r="G97" s="54">
        <f t="shared" si="34"/>
        <v>203016.82539000001</v>
      </c>
      <c r="H97" s="54">
        <f t="shared" si="34"/>
        <v>205391.95445579797</v>
      </c>
      <c r="I97" s="54">
        <f t="shared" si="34"/>
        <v>206036.96784043268</v>
      </c>
      <c r="J97" s="54">
        <f t="shared" si="34"/>
        <v>208345.34043225236</v>
      </c>
      <c r="K97" s="54">
        <f t="shared" si="34"/>
        <v>212301.4992396899</v>
      </c>
      <c r="L97" s="54">
        <f t="shared" si="34"/>
        <v>217375.82733521852</v>
      </c>
      <c r="M97" s="54">
        <f t="shared" si="34"/>
        <v>221567.87580481224</v>
      </c>
      <c r="N97" s="54">
        <f t="shared" si="34"/>
        <v>225353.86367218586</v>
      </c>
    </row>
    <row r="98" spans="1:14" ht="15" thickBot="1">
      <c r="A98" s="85" t="s">
        <v>310</v>
      </c>
      <c r="C98" s="11">
        <f>SUM(C96:C97)</f>
        <v>195668.745</v>
      </c>
      <c r="E98" s="10">
        <f t="shared" ref="E98:N98" si="35">SUM(E96:E97)</f>
        <v>201165.30130800002</v>
      </c>
      <c r="F98" s="10">
        <f t="shared" si="35"/>
        <v>211831.54048155202</v>
      </c>
      <c r="G98" s="11">
        <f t="shared" si="35"/>
        <v>221470.73394563753</v>
      </c>
      <c r="H98" s="11">
        <f t="shared" si="35"/>
        <v>233138.95307341963</v>
      </c>
      <c r="I98" s="11">
        <f t="shared" si="35"/>
        <v>242871.42939612869</v>
      </c>
      <c r="J98" s="11">
        <f t="shared" si="35"/>
        <v>254953.69595220691</v>
      </c>
      <c r="K98" s="11">
        <f t="shared" si="35"/>
        <v>269470.65035112575</v>
      </c>
      <c r="L98" s="11">
        <f t="shared" si="35"/>
        <v>284574.96496349212</v>
      </c>
      <c r="M98" s="11">
        <f t="shared" si="35"/>
        <v>300356.85358732217</v>
      </c>
      <c r="N98" s="11">
        <f t="shared" si="35"/>
        <v>314731.14396936831</v>
      </c>
    </row>
  </sheetData>
  <pageMargins left="0.7" right="0.7" top="0.75" bottom="0.75" header="0.3" footer="0.3"/>
  <pageSetup paperSize="8"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63444-950A-4D05-983D-CD98BDE54FE7}">
  <sheetPr codeName="Sheet32">
    <pageSetUpPr fitToPage="1"/>
  </sheetPr>
  <dimension ref="A1:S98"/>
  <sheetViews>
    <sheetView zoomScale="80" zoomScaleNormal="80" workbookViewId="0">
      <selection activeCell="L33" sqref="L33"/>
    </sheetView>
  </sheetViews>
  <sheetFormatPr defaultColWidth="7.81640625" defaultRowHeight="14.5"/>
  <cols>
    <col min="1" max="1" width="79.7265625" style="1" customWidth="1"/>
    <col min="2" max="2" width="1.81640625" style="1" customWidth="1"/>
    <col min="3" max="3" width="15" style="1" hidden="1" customWidth="1"/>
    <col min="4" max="4" width="2.26953125" style="1" hidden="1" customWidth="1"/>
    <col min="5" max="14" width="15" style="1" customWidth="1"/>
    <col min="15" max="16" width="11.26953125" style="1" customWidth="1"/>
    <col min="17" max="17" width="7.81640625" style="1"/>
    <col min="18" max="19" width="11.26953125" style="1" customWidth="1"/>
    <col min="20" max="16384" width="7.81640625" style="1"/>
  </cols>
  <sheetData>
    <row r="1" spans="1:19" ht="15" thickBot="1">
      <c r="A1" s="81" t="s">
        <v>240</v>
      </c>
      <c r="B1" s="82"/>
      <c r="C1" s="82" t="s">
        <v>96</v>
      </c>
      <c r="D1" s="82"/>
      <c r="E1" s="82" t="s">
        <v>86</v>
      </c>
      <c r="F1" s="82" t="s">
        <v>87</v>
      </c>
      <c r="G1" s="82" t="s">
        <v>88</v>
      </c>
      <c r="H1" s="82" t="s">
        <v>89</v>
      </c>
      <c r="I1" s="82" t="s">
        <v>90</v>
      </c>
      <c r="J1" s="82" t="s">
        <v>91</v>
      </c>
      <c r="K1" s="82" t="s">
        <v>92</v>
      </c>
      <c r="L1" s="82" t="s">
        <v>93</v>
      </c>
      <c r="M1" s="82" t="s">
        <v>94</v>
      </c>
      <c r="N1" s="82" t="s">
        <v>95</v>
      </c>
      <c r="O1" s="83"/>
      <c r="P1" s="82" t="s">
        <v>171</v>
      </c>
    </row>
    <row r="2" spans="1:19" ht="15" thickBot="1">
      <c r="A2" s="43" t="s">
        <v>241</v>
      </c>
      <c r="C2" s="3"/>
      <c r="E2" s="3"/>
      <c r="F2" s="3"/>
      <c r="G2" s="3"/>
      <c r="H2" s="3"/>
      <c r="I2" s="3"/>
      <c r="J2" s="3"/>
      <c r="K2" s="3"/>
      <c r="L2" s="3"/>
      <c r="M2" s="3"/>
      <c r="N2" s="3"/>
      <c r="O2" s="83"/>
      <c r="P2" s="3"/>
    </row>
    <row r="3" spans="1:19" ht="15" thickBot="1">
      <c r="A3" s="4" t="s">
        <v>242</v>
      </c>
      <c r="C3" s="91">
        <v>492.45194043359157</v>
      </c>
      <c r="E3" s="90">
        <v>119</v>
      </c>
      <c r="F3" s="90">
        <v>97.42192</v>
      </c>
      <c r="G3" s="90">
        <v>104.4935</v>
      </c>
      <c r="H3" s="90">
        <v>49</v>
      </c>
      <c r="I3" s="90">
        <v>49</v>
      </c>
      <c r="J3" s="90">
        <v>50</v>
      </c>
      <c r="K3" s="90">
        <v>52</v>
      </c>
      <c r="L3" s="90">
        <v>52</v>
      </c>
      <c r="M3" s="90">
        <v>53</v>
      </c>
      <c r="N3" s="90">
        <v>55</v>
      </c>
      <c r="P3" s="84">
        <f>SUM(E3:N3)</f>
        <v>680.91542000000004</v>
      </c>
      <c r="S3" s="1" t="s">
        <v>98</v>
      </c>
    </row>
    <row r="4" spans="1:19" ht="15" thickBot="1">
      <c r="A4" s="4" t="s">
        <v>243</v>
      </c>
      <c r="C4" s="91">
        <v>1881</v>
      </c>
      <c r="E4" s="90">
        <v>3054.7968499999997</v>
      </c>
      <c r="F4" s="90">
        <v>3249.9911099999999</v>
      </c>
      <c r="G4" s="90">
        <v>3618.9063699999997</v>
      </c>
      <c r="H4" s="90">
        <v>3693.5138252519896</v>
      </c>
      <c r="I4" s="90">
        <v>3867.5969728131176</v>
      </c>
      <c r="J4" s="90">
        <v>4069.2010454623778</v>
      </c>
      <c r="K4" s="90">
        <v>4495.5656278715214</v>
      </c>
      <c r="L4" s="90">
        <v>5005.6661416320831</v>
      </c>
      <c r="M4" s="90">
        <v>5410.2447423688709</v>
      </c>
      <c r="N4" s="90">
        <v>5596.4296069435395</v>
      </c>
      <c r="P4" s="84">
        <f>SUM(E4:N4)</f>
        <v>42061.912292343492</v>
      </c>
      <c r="S4" s="1" t="s">
        <v>98</v>
      </c>
    </row>
    <row r="5" spans="1:19" ht="15" thickBot="1">
      <c r="A5" s="4" t="s">
        <v>244</v>
      </c>
      <c r="C5" s="91">
        <v>0</v>
      </c>
      <c r="E5" s="90">
        <v>0</v>
      </c>
      <c r="F5" s="90">
        <v>0</v>
      </c>
      <c r="G5" s="90">
        <v>0</v>
      </c>
      <c r="H5" s="90">
        <v>0</v>
      </c>
      <c r="I5" s="90">
        <v>0</v>
      </c>
      <c r="J5" s="90">
        <v>0</v>
      </c>
      <c r="K5" s="90">
        <v>0</v>
      </c>
      <c r="L5" s="90">
        <v>0</v>
      </c>
      <c r="M5" s="90">
        <v>0</v>
      </c>
      <c r="N5" s="90">
        <v>0</v>
      </c>
      <c r="P5" s="84">
        <f>SUM(E5:N5)</f>
        <v>0</v>
      </c>
      <c r="S5" s="1" t="s">
        <v>98</v>
      </c>
    </row>
    <row r="6" spans="1:19" ht="15" thickBot="1">
      <c r="A6" s="4" t="s">
        <v>245</v>
      </c>
      <c r="C6" s="91">
        <v>12.020856799999999</v>
      </c>
      <c r="E6" s="91">
        <v>0.94499999999999995</v>
      </c>
      <c r="F6" s="91">
        <v>0.44800000000000001</v>
      </c>
      <c r="G6" s="91">
        <v>0.85599999999999998</v>
      </c>
      <c r="H6" s="91">
        <v>0</v>
      </c>
      <c r="I6" s="91">
        <v>0</v>
      </c>
      <c r="J6" s="91">
        <v>0</v>
      </c>
      <c r="K6" s="91">
        <v>0</v>
      </c>
      <c r="L6" s="91">
        <v>0</v>
      </c>
      <c r="M6" s="91">
        <v>0</v>
      </c>
      <c r="N6" s="91">
        <v>0</v>
      </c>
      <c r="P6" s="84">
        <f>SUM(E6:N6)</f>
        <v>2.2490000000000001</v>
      </c>
      <c r="S6" s="1" t="s">
        <v>98</v>
      </c>
    </row>
    <row r="7" spans="1:19" ht="15" thickBot="1">
      <c r="A7" s="4" t="s">
        <v>246</v>
      </c>
      <c r="C7" s="91">
        <v>1</v>
      </c>
      <c r="E7" s="91">
        <v>2</v>
      </c>
      <c r="F7" s="91">
        <v>2.0419999999999998</v>
      </c>
      <c r="G7" s="91">
        <v>2.0870000000000002</v>
      </c>
      <c r="H7" s="91">
        <v>2.1308000000000002</v>
      </c>
      <c r="I7" s="91">
        <v>2.1734</v>
      </c>
      <c r="J7" s="91">
        <v>2.2145999999999999</v>
      </c>
      <c r="K7" s="91">
        <v>2.2568000000000001</v>
      </c>
      <c r="L7" s="91">
        <v>2.2974000000000001</v>
      </c>
      <c r="M7" s="91">
        <v>2.3388</v>
      </c>
      <c r="N7" s="91">
        <v>2.3808000000000002</v>
      </c>
      <c r="P7" s="84">
        <f>SUM(E7:N7)</f>
        <v>21.921600000000002</v>
      </c>
      <c r="S7" s="1" t="s">
        <v>98</v>
      </c>
    </row>
    <row r="8" spans="1:19" ht="15" thickBot="1">
      <c r="A8" s="85" t="s">
        <v>247</v>
      </c>
      <c r="C8" s="10">
        <f>SUM(C3:C7)</f>
        <v>2386.4727972335913</v>
      </c>
      <c r="E8" s="10">
        <f t="shared" ref="E8:N8" si="0">SUM(E3:E7)</f>
        <v>3176.7418499999999</v>
      </c>
      <c r="F8" s="11">
        <f t="shared" si="0"/>
        <v>3349.9030299999995</v>
      </c>
      <c r="G8" s="11">
        <f t="shared" si="0"/>
        <v>3726.3428699999999</v>
      </c>
      <c r="H8" s="11">
        <f t="shared" si="0"/>
        <v>3744.6446252519895</v>
      </c>
      <c r="I8" s="11">
        <f t="shared" si="0"/>
        <v>3918.7703728131178</v>
      </c>
      <c r="J8" s="11">
        <f t="shared" si="0"/>
        <v>4121.4156454623781</v>
      </c>
      <c r="K8" s="11">
        <f t="shared" si="0"/>
        <v>4549.8224278715215</v>
      </c>
      <c r="L8" s="11">
        <f t="shared" si="0"/>
        <v>5059.9635416320834</v>
      </c>
      <c r="M8" s="11">
        <f t="shared" si="0"/>
        <v>5465.5835423688713</v>
      </c>
      <c r="N8" s="11">
        <f t="shared" si="0"/>
        <v>5653.8104069435394</v>
      </c>
      <c r="P8" s="11">
        <f>SUM(P3:P7)</f>
        <v>42766.998312343494</v>
      </c>
    </row>
    <row r="9" spans="1:19" ht="5.25" customHeight="1" thickBot="1">
      <c r="A9" s="62"/>
      <c r="E9" s="86"/>
      <c r="F9" s="86"/>
      <c r="G9" s="86"/>
      <c r="H9" s="86"/>
      <c r="I9" s="86"/>
      <c r="J9" s="86"/>
      <c r="K9" s="86"/>
      <c r="L9" s="86"/>
      <c r="M9" s="86"/>
      <c r="N9" s="86"/>
    </row>
    <row r="10" spans="1:19" ht="15" thickBot="1">
      <c r="A10" s="43" t="s">
        <v>248</v>
      </c>
      <c r="C10" s="3"/>
      <c r="E10" s="3"/>
      <c r="F10" s="3"/>
      <c r="G10" s="3"/>
      <c r="H10" s="3"/>
      <c r="I10" s="3"/>
      <c r="J10" s="3"/>
      <c r="K10" s="3"/>
      <c r="L10" s="3"/>
      <c r="M10" s="3"/>
      <c r="N10" s="3"/>
      <c r="O10" s="83"/>
      <c r="P10" s="3"/>
    </row>
    <row r="11" spans="1:19" ht="15" thickBot="1">
      <c r="A11" s="4" t="s">
        <v>249</v>
      </c>
      <c r="C11" s="91">
        <v>1202.3813</v>
      </c>
      <c r="E11" s="91">
        <v>1162.3474200000001</v>
      </c>
      <c r="F11" s="91">
        <v>1136.6012099999998</v>
      </c>
      <c r="G11" s="91">
        <v>1067.0856200000001</v>
      </c>
      <c r="H11" s="91">
        <v>1203.5747465069801</v>
      </c>
      <c r="I11" s="91">
        <v>1209.8762371696548</v>
      </c>
      <c r="J11" s="91">
        <v>1169.9050359139117</v>
      </c>
      <c r="K11" s="91">
        <v>1180.4501521241377</v>
      </c>
      <c r="L11" s="91">
        <v>1191.1294132559881</v>
      </c>
      <c r="M11" s="91">
        <v>1209.8839168688992</v>
      </c>
      <c r="N11" s="91">
        <v>1217.6493790638619</v>
      </c>
      <c r="P11" s="84">
        <f>SUM(E11:N11)</f>
        <v>11748.503130903433</v>
      </c>
      <c r="S11" s="1" t="s">
        <v>98</v>
      </c>
    </row>
    <row r="12" spans="1:19" ht="15" thickBot="1">
      <c r="A12" s="4" t="s">
        <v>250</v>
      </c>
      <c r="C12" s="91">
        <v>63.094369999999998</v>
      </c>
      <c r="E12" s="91">
        <v>109.56399999999999</v>
      </c>
      <c r="F12" s="91">
        <v>120.68300000000001</v>
      </c>
      <c r="G12" s="91">
        <v>194.20600000000002</v>
      </c>
      <c r="H12" s="91">
        <v>731.36621389865763</v>
      </c>
      <c r="I12" s="91">
        <v>849.19954607018053</v>
      </c>
      <c r="J12" s="91">
        <v>968.92491451867954</v>
      </c>
      <c r="K12" s="91">
        <v>1117.7166316870905</v>
      </c>
      <c r="L12" s="91">
        <v>1294.1126768000584</v>
      </c>
      <c r="M12" s="91">
        <v>1473.5700431026753</v>
      </c>
      <c r="N12" s="91">
        <v>1623.6079077300942</v>
      </c>
      <c r="P12" s="84">
        <f>SUM(E12:N12)</f>
        <v>8482.9509338074367</v>
      </c>
      <c r="S12" s="1" t="s">
        <v>98</v>
      </c>
    </row>
    <row r="13" spans="1:19" ht="15" thickBot="1">
      <c r="A13" s="4" t="s">
        <v>251</v>
      </c>
      <c r="C13" s="91">
        <v>738.68413999999996</v>
      </c>
      <c r="E13" s="91">
        <v>763.35549000000003</v>
      </c>
      <c r="F13" s="91">
        <v>806.03546000000006</v>
      </c>
      <c r="G13" s="91">
        <v>828.6611200000001</v>
      </c>
      <c r="H13" s="91">
        <v>849.65632000000005</v>
      </c>
      <c r="I13" s="91">
        <v>871.38592000000006</v>
      </c>
      <c r="J13" s="91">
        <v>894.66877999999997</v>
      </c>
      <c r="K13" s="91">
        <v>908.80288000000007</v>
      </c>
      <c r="L13" s="91">
        <v>929.98996999999997</v>
      </c>
      <c r="M13" s="91">
        <v>951.7236200000001</v>
      </c>
      <c r="N13" s="91">
        <v>966.20347000000004</v>
      </c>
      <c r="P13" s="84">
        <f>SUM(E13:N13)</f>
        <v>8770.4830299999994</v>
      </c>
      <c r="S13" s="1" t="s">
        <v>98</v>
      </c>
    </row>
    <row r="14" spans="1:19" ht="15" thickBot="1">
      <c r="A14" s="4" t="s">
        <v>252</v>
      </c>
      <c r="C14" s="91">
        <v>0</v>
      </c>
      <c r="E14" s="91">
        <v>0</v>
      </c>
      <c r="F14" s="91">
        <v>0</v>
      </c>
      <c r="G14" s="91">
        <v>0</v>
      </c>
      <c r="H14" s="91">
        <v>0</v>
      </c>
      <c r="I14" s="91">
        <v>0</v>
      </c>
      <c r="J14" s="91">
        <v>0</v>
      </c>
      <c r="K14" s="91">
        <v>0</v>
      </c>
      <c r="L14" s="91">
        <v>0</v>
      </c>
      <c r="M14" s="91">
        <v>0</v>
      </c>
      <c r="N14" s="91">
        <v>0</v>
      </c>
      <c r="P14" s="84">
        <f>SUM(E14:N14)</f>
        <v>0</v>
      </c>
      <c r="S14" s="1" t="s">
        <v>98</v>
      </c>
    </row>
    <row r="15" spans="1:19" ht="15" thickBot="1">
      <c r="A15" s="85" t="s">
        <v>253</v>
      </c>
      <c r="C15" s="10">
        <f>SUM(C11:C14)</f>
        <v>2004.1598100000001</v>
      </c>
      <c r="E15" s="11">
        <f t="shared" ref="E15:N15" si="1">SUM(E11:E14)</f>
        <v>2035.2669100000003</v>
      </c>
      <c r="F15" s="11">
        <f t="shared" si="1"/>
        <v>2063.3196699999999</v>
      </c>
      <c r="G15" s="11">
        <f t="shared" si="1"/>
        <v>2089.9527400000002</v>
      </c>
      <c r="H15" s="11">
        <f t="shared" si="1"/>
        <v>2784.5972804056378</v>
      </c>
      <c r="I15" s="11">
        <f t="shared" si="1"/>
        <v>2930.4617032398355</v>
      </c>
      <c r="J15" s="11">
        <f t="shared" si="1"/>
        <v>3033.4987304325914</v>
      </c>
      <c r="K15" s="11">
        <f t="shared" si="1"/>
        <v>3206.9696638112282</v>
      </c>
      <c r="L15" s="11">
        <f t="shared" si="1"/>
        <v>3415.2320600560465</v>
      </c>
      <c r="M15" s="11">
        <f t="shared" si="1"/>
        <v>3635.1775799715747</v>
      </c>
      <c r="N15" s="11">
        <f t="shared" si="1"/>
        <v>3807.4607567939561</v>
      </c>
      <c r="P15" s="11">
        <f>SUM(P11:P14)</f>
        <v>29001.937094710869</v>
      </c>
    </row>
    <row r="16" spans="1:19" ht="5.25" customHeight="1" thickBot="1">
      <c r="A16" s="87"/>
    </row>
    <row r="17" spans="1:19" ht="15" thickBot="1">
      <c r="A17" s="85" t="s">
        <v>254</v>
      </c>
      <c r="C17" s="11">
        <f>C8-C15</f>
        <v>382.31298723359123</v>
      </c>
      <c r="E17" s="11">
        <f t="shared" ref="E17:N17" si="2">E8-E15</f>
        <v>1141.4749399999996</v>
      </c>
      <c r="F17" s="11">
        <f t="shared" si="2"/>
        <v>1286.5833599999996</v>
      </c>
      <c r="G17" s="11">
        <f t="shared" si="2"/>
        <v>1636.3901299999998</v>
      </c>
      <c r="H17" s="11">
        <f t="shared" si="2"/>
        <v>960.04734484635173</v>
      </c>
      <c r="I17" s="11">
        <f t="shared" si="2"/>
        <v>988.30866957328226</v>
      </c>
      <c r="J17" s="11">
        <f t="shared" si="2"/>
        <v>1087.9169150297867</v>
      </c>
      <c r="K17" s="11">
        <f t="shared" si="2"/>
        <v>1342.8527640602933</v>
      </c>
      <c r="L17" s="11">
        <f t="shared" si="2"/>
        <v>1644.7314815760369</v>
      </c>
      <c r="M17" s="11">
        <f t="shared" si="2"/>
        <v>1830.4059623972967</v>
      </c>
      <c r="N17" s="11">
        <f t="shared" si="2"/>
        <v>1846.3496501495833</v>
      </c>
      <c r="P17" s="11">
        <f>P8-P15</f>
        <v>13765.061217632625</v>
      </c>
    </row>
    <row r="18" spans="1:19" ht="5.25" customHeight="1" thickBot="1">
      <c r="A18" s="62"/>
    </row>
    <row r="19" spans="1:19" ht="15" thickBot="1">
      <c r="A19" s="43" t="s">
        <v>255</v>
      </c>
      <c r="C19" s="3"/>
      <c r="E19" s="3"/>
      <c r="F19" s="3"/>
      <c r="G19" s="3"/>
      <c r="H19" s="3"/>
      <c r="I19" s="3"/>
      <c r="J19" s="3"/>
      <c r="K19" s="3"/>
      <c r="L19" s="3"/>
      <c r="M19" s="3"/>
      <c r="N19" s="3"/>
      <c r="O19" s="83"/>
      <c r="P19" s="3"/>
    </row>
    <row r="20" spans="1:19" ht="15" thickBot="1">
      <c r="A20" s="4" t="s">
        <v>256</v>
      </c>
      <c r="C20" s="91">
        <v>179</v>
      </c>
      <c r="E20" s="91">
        <v>0</v>
      </c>
      <c r="F20" s="91">
        <v>0</v>
      </c>
      <c r="G20" s="91">
        <v>0</v>
      </c>
      <c r="H20" s="91">
        <v>0</v>
      </c>
      <c r="I20" s="91">
        <v>0</v>
      </c>
      <c r="J20" s="91">
        <v>0</v>
      </c>
      <c r="K20" s="91">
        <v>0</v>
      </c>
      <c r="L20" s="91">
        <v>0</v>
      </c>
      <c r="M20" s="91">
        <v>0</v>
      </c>
      <c r="N20" s="91">
        <v>0</v>
      </c>
      <c r="P20" s="84">
        <f>SUM(E20:N20)</f>
        <v>0</v>
      </c>
      <c r="S20" s="1" t="s">
        <v>98</v>
      </c>
    </row>
    <row r="21" spans="1:19" ht="15" thickBot="1">
      <c r="A21" s="4" t="s">
        <v>257</v>
      </c>
      <c r="C21" s="91">
        <v>22</v>
      </c>
      <c r="E21" s="91">
        <v>24</v>
      </c>
      <c r="F21" s="91">
        <v>25</v>
      </c>
      <c r="G21" s="91">
        <v>25</v>
      </c>
      <c r="H21" s="91">
        <v>26</v>
      </c>
      <c r="I21" s="91">
        <v>26</v>
      </c>
      <c r="J21" s="91">
        <v>26</v>
      </c>
      <c r="K21" s="91">
        <v>26</v>
      </c>
      <c r="L21" s="91">
        <v>26</v>
      </c>
      <c r="M21" s="91">
        <v>26</v>
      </c>
      <c r="N21" s="91">
        <v>26</v>
      </c>
      <c r="P21" s="84">
        <f>SUM(E21:N21)</f>
        <v>256</v>
      </c>
      <c r="S21" s="1" t="s">
        <v>98</v>
      </c>
    </row>
    <row r="22" spans="1:19" ht="15" thickBot="1">
      <c r="A22" s="4" t="s">
        <v>258</v>
      </c>
      <c r="C22" s="91">
        <v>-614.91999999999996</v>
      </c>
      <c r="E22" s="91">
        <v>-173.13549999999998</v>
      </c>
      <c r="F22" s="91">
        <v>1489.8334199999999</v>
      </c>
      <c r="G22" s="91">
        <v>1292.2292499999999</v>
      </c>
      <c r="H22" s="91">
        <v>1370.9112361372875</v>
      </c>
      <c r="I22" s="91">
        <v>1083.4722804267185</v>
      </c>
      <c r="J22" s="91">
        <v>2177.9631360542066</v>
      </c>
      <c r="K22" s="91">
        <v>2337.3314067238525</v>
      </c>
      <c r="L22" s="91">
        <v>2650.2158143652082</v>
      </c>
      <c r="M22" s="91">
        <v>2454.5682147508114</v>
      </c>
      <c r="N22" s="91">
        <v>2425.6081291302589</v>
      </c>
      <c r="P22" s="84">
        <f>SUM(E22:N22)</f>
        <v>17108.997387588344</v>
      </c>
      <c r="S22" s="1" t="s">
        <v>98</v>
      </c>
    </row>
    <row r="23" spans="1:19" ht="15" thickBot="1">
      <c r="A23" s="4" t="s">
        <v>259</v>
      </c>
      <c r="C23" s="91">
        <v>0</v>
      </c>
      <c r="E23" s="91">
        <v>0</v>
      </c>
      <c r="F23" s="91">
        <v>0</v>
      </c>
      <c r="G23" s="91">
        <v>0</v>
      </c>
      <c r="H23" s="91">
        <v>0</v>
      </c>
      <c r="I23" s="91">
        <v>0</v>
      </c>
      <c r="J23" s="91">
        <v>0</v>
      </c>
      <c r="K23" s="91">
        <v>0</v>
      </c>
      <c r="L23" s="91">
        <v>0</v>
      </c>
      <c r="M23" s="91">
        <v>0</v>
      </c>
      <c r="N23" s="91">
        <v>0</v>
      </c>
      <c r="P23" s="84">
        <f>SUM(E23:N23)</f>
        <v>0</v>
      </c>
      <c r="S23" s="1" t="s">
        <v>98</v>
      </c>
    </row>
    <row r="24" spans="1:19" ht="15" thickBot="1">
      <c r="A24" s="4" t="s">
        <v>260</v>
      </c>
      <c r="C24" s="91">
        <v>0</v>
      </c>
      <c r="E24" s="91">
        <v>0</v>
      </c>
      <c r="F24" s="91">
        <v>0</v>
      </c>
      <c r="G24" s="91">
        <v>0</v>
      </c>
      <c r="H24" s="91">
        <v>0</v>
      </c>
      <c r="I24" s="91">
        <v>0</v>
      </c>
      <c r="J24" s="91">
        <v>0</v>
      </c>
      <c r="K24" s="91">
        <v>0</v>
      </c>
      <c r="L24" s="91">
        <v>0</v>
      </c>
      <c r="M24" s="91">
        <v>0</v>
      </c>
      <c r="N24" s="91">
        <v>0</v>
      </c>
      <c r="P24" s="84">
        <f>SUM(E24:N24)</f>
        <v>0</v>
      </c>
      <c r="S24" s="1" t="s">
        <v>98</v>
      </c>
    </row>
    <row r="25" spans="1:19" ht="15" thickBot="1">
      <c r="A25" s="85" t="s">
        <v>261</v>
      </c>
      <c r="C25" s="11">
        <f>SUM(C20:C24)</f>
        <v>-413.91999999999996</v>
      </c>
      <c r="E25" s="11">
        <f t="shared" ref="E25:N25" si="3">SUM(E20:E24)</f>
        <v>-149.13549999999998</v>
      </c>
      <c r="F25" s="11">
        <f t="shared" si="3"/>
        <v>1514.8334199999999</v>
      </c>
      <c r="G25" s="11">
        <f t="shared" si="3"/>
        <v>1317.2292499999999</v>
      </c>
      <c r="H25" s="11">
        <f t="shared" si="3"/>
        <v>1396.9112361372875</v>
      </c>
      <c r="I25" s="11">
        <f t="shared" si="3"/>
        <v>1109.4722804267185</v>
      </c>
      <c r="J25" s="11">
        <f t="shared" si="3"/>
        <v>2203.9631360542066</v>
      </c>
      <c r="K25" s="11">
        <f t="shared" si="3"/>
        <v>2363.3314067238525</v>
      </c>
      <c r="L25" s="11">
        <f t="shared" si="3"/>
        <v>2676.2158143652082</v>
      </c>
      <c r="M25" s="11">
        <f t="shared" si="3"/>
        <v>2480.5682147508114</v>
      </c>
      <c r="N25" s="11">
        <f t="shared" si="3"/>
        <v>2451.6081291302589</v>
      </c>
      <c r="P25" s="11">
        <f>SUM(P20:P24)</f>
        <v>17364.997387588344</v>
      </c>
    </row>
    <row r="26" spans="1:19" ht="5.25" customHeight="1" thickBot="1">
      <c r="A26" s="62"/>
    </row>
    <row r="27" spans="1:19" ht="15" thickBot="1">
      <c r="A27" s="43" t="s">
        <v>262</v>
      </c>
      <c r="C27" s="3"/>
      <c r="E27" s="3"/>
      <c r="F27" s="3"/>
      <c r="G27" s="3"/>
      <c r="H27" s="3"/>
      <c r="I27" s="3"/>
      <c r="J27" s="3"/>
      <c r="K27" s="3"/>
      <c r="L27" s="3"/>
      <c r="M27" s="3"/>
      <c r="N27" s="3"/>
      <c r="O27" s="83"/>
      <c r="P27" s="3"/>
    </row>
    <row r="28" spans="1:19" ht="15" thickBot="1">
      <c r="A28" s="4" t="s">
        <v>212</v>
      </c>
      <c r="C28" s="91">
        <v>1454</v>
      </c>
      <c r="E28" s="91">
        <v>257</v>
      </c>
      <c r="F28" s="91">
        <v>697.34999999999991</v>
      </c>
      <c r="G28" s="91">
        <v>267.89999999999998</v>
      </c>
      <c r="H28" s="91">
        <v>0</v>
      </c>
      <c r="I28" s="91">
        <v>0</v>
      </c>
      <c r="J28" s="91">
        <v>0</v>
      </c>
      <c r="K28" s="91">
        <v>0</v>
      </c>
      <c r="L28" s="91">
        <v>0</v>
      </c>
      <c r="M28" s="126">
        <v>0</v>
      </c>
      <c r="N28" s="91">
        <v>0</v>
      </c>
      <c r="P28" s="84">
        <f>SUM(E28:N28)</f>
        <v>1222.25</v>
      </c>
      <c r="S28" s="1" t="s">
        <v>98</v>
      </c>
    </row>
    <row r="29" spans="1:19" ht="15" thickBot="1">
      <c r="A29" s="4" t="s">
        <v>213</v>
      </c>
      <c r="C29" s="91">
        <v>0</v>
      </c>
      <c r="E29" s="91">
        <v>0</v>
      </c>
      <c r="F29" s="91">
        <v>1088</v>
      </c>
      <c r="G29" s="91">
        <v>1115</v>
      </c>
      <c r="H29" s="91">
        <v>735.7</v>
      </c>
      <c r="I29" s="91">
        <v>855</v>
      </c>
      <c r="J29" s="91">
        <v>1416.3594826006338</v>
      </c>
      <c r="K29" s="91">
        <v>2142.1535842347921</v>
      </c>
      <c r="L29" s="91">
        <v>2198.7282676054106</v>
      </c>
      <c r="M29" s="91">
        <v>1786.345280091226</v>
      </c>
      <c r="N29" s="91">
        <v>1180.8144971642066</v>
      </c>
      <c r="P29" s="84">
        <f>SUM(E29:N29)</f>
        <v>12518.101111696269</v>
      </c>
      <c r="S29" s="1" t="s">
        <v>98</v>
      </c>
    </row>
    <row r="30" spans="1:19" ht="15" thickBot="1">
      <c r="A30" s="4" t="s">
        <v>214</v>
      </c>
      <c r="C30" s="91">
        <v>458.51330999999999</v>
      </c>
      <c r="E30" s="91">
        <v>944.34627999999998</v>
      </c>
      <c r="F30" s="91">
        <v>1278.6983299999999</v>
      </c>
      <c r="G30" s="91">
        <v>2835.6651299999994</v>
      </c>
      <c r="H30" s="91">
        <v>1921.2363500000001</v>
      </c>
      <c r="I30" s="91">
        <v>1969.93652</v>
      </c>
      <c r="J30" s="91">
        <v>2072.5277184833594</v>
      </c>
      <c r="K30" s="91">
        <v>1881.9241738120334</v>
      </c>
      <c r="L30" s="91">
        <v>1880.6353070403457</v>
      </c>
      <c r="M30" s="91">
        <v>1934.7325582421417</v>
      </c>
      <c r="N30" s="91">
        <v>1978.7812319515506</v>
      </c>
      <c r="P30" s="84">
        <f>SUM(E30:N30)</f>
        <v>18698.483599529427</v>
      </c>
      <c r="S30" s="1" t="s">
        <v>98</v>
      </c>
    </row>
    <row r="31" spans="1:19" ht="15" thickBot="1">
      <c r="A31" s="4" t="s">
        <v>263</v>
      </c>
      <c r="C31" s="91">
        <v>-786.12032276640844</v>
      </c>
      <c r="E31" s="91">
        <v>-208.80691999999999</v>
      </c>
      <c r="F31" s="91">
        <v>-262.31768999999997</v>
      </c>
      <c r="G31" s="91">
        <v>-1264.94586</v>
      </c>
      <c r="H31" s="91">
        <v>-1049.7795800000001</v>
      </c>
      <c r="I31" s="91">
        <v>-727.15565000000004</v>
      </c>
      <c r="J31" s="91">
        <v>-197.00724000000002</v>
      </c>
      <c r="K31" s="91">
        <v>-317.27831000000003</v>
      </c>
      <c r="L31" s="91">
        <v>242.46134999999998</v>
      </c>
      <c r="M31" s="91">
        <v>591.36402999999996</v>
      </c>
      <c r="N31" s="91">
        <v>1140.1084699999999</v>
      </c>
      <c r="P31" s="84">
        <f>SUM(E31:N31)</f>
        <v>-2053.3573999999999</v>
      </c>
      <c r="S31" s="1" t="s">
        <v>98</v>
      </c>
    </row>
    <row r="32" spans="1:19" ht="15" thickBot="1">
      <c r="A32" s="4" t="s">
        <v>264</v>
      </c>
      <c r="C32" s="91">
        <v>-8</v>
      </c>
      <c r="E32" s="91">
        <v>0</v>
      </c>
      <c r="F32" s="91">
        <v>0</v>
      </c>
      <c r="G32" s="91">
        <v>0</v>
      </c>
      <c r="H32" s="91">
        <v>749.80170098363897</v>
      </c>
      <c r="I32" s="91">
        <v>0</v>
      </c>
      <c r="J32" s="91">
        <v>0</v>
      </c>
      <c r="K32" s="91">
        <v>0</v>
      </c>
      <c r="L32" s="91">
        <v>0</v>
      </c>
      <c r="M32" s="91">
        <v>0</v>
      </c>
      <c r="N32" s="91">
        <v>0</v>
      </c>
      <c r="P32" s="84">
        <f>SUM(E32:N32)</f>
        <v>749.80170098363897</v>
      </c>
      <c r="S32" s="1" t="s">
        <v>98</v>
      </c>
    </row>
    <row r="33" spans="1:16" ht="15" thickBot="1">
      <c r="A33" s="85" t="s">
        <v>265</v>
      </c>
      <c r="C33" s="11">
        <f>SUM(C28:C32)</f>
        <v>1118.3929872335916</v>
      </c>
      <c r="E33" s="11">
        <f t="shared" ref="E33:N33" si="4">SUM(E28:E32)</f>
        <v>992.53935999999999</v>
      </c>
      <c r="F33" s="11">
        <f t="shared" si="4"/>
        <v>2801.7306399999998</v>
      </c>
      <c r="G33" s="11">
        <f t="shared" si="4"/>
        <v>2953.6192699999992</v>
      </c>
      <c r="H33" s="11">
        <f t="shared" si="4"/>
        <v>2356.958470983639</v>
      </c>
      <c r="I33" s="11">
        <f t="shared" si="4"/>
        <v>2097.78087</v>
      </c>
      <c r="J33" s="11">
        <f t="shared" si="4"/>
        <v>3291.8799610839933</v>
      </c>
      <c r="K33" s="11">
        <f t="shared" si="4"/>
        <v>3706.7994480468255</v>
      </c>
      <c r="L33" s="11">
        <f t="shared" si="4"/>
        <v>4321.8249246457563</v>
      </c>
      <c r="M33" s="11">
        <f t="shared" si="4"/>
        <v>4312.4418683333679</v>
      </c>
      <c r="N33" s="11">
        <f t="shared" si="4"/>
        <v>4299.7041991157575</v>
      </c>
      <c r="P33" s="11">
        <f>SUM(P28:P32)</f>
        <v>31135.279012209336</v>
      </c>
    </row>
    <row r="34" spans="1:16" ht="5.25" customHeight="1" thickBot="1">
      <c r="A34" s="87"/>
    </row>
    <row r="35" spans="1:16" ht="15" thickBot="1">
      <c r="A35" s="85" t="s">
        <v>266</v>
      </c>
      <c r="C35" s="11">
        <f>C25-C33</f>
        <v>-1532.3129872335917</v>
      </c>
      <c r="E35" s="11">
        <f t="shared" ref="E35:N35" si="5">E25-E33</f>
        <v>-1141.6748600000001</v>
      </c>
      <c r="F35" s="11">
        <f t="shared" si="5"/>
        <v>-1286.8972199999998</v>
      </c>
      <c r="G35" s="11">
        <f t="shared" si="5"/>
        <v>-1636.3900199999994</v>
      </c>
      <c r="H35" s="11">
        <f t="shared" si="5"/>
        <v>-960.04723484635156</v>
      </c>
      <c r="I35" s="11">
        <f t="shared" si="5"/>
        <v>-988.30858957328155</v>
      </c>
      <c r="J35" s="11">
        <f t="shared" si="5"/>
        <v>-1087.9168250297867</v>
      </c>
      <c r="K35" s="11">
        <f t="shared" si="5"/>
        <v>-1343.468041322973</v>
      </c>
      <c r="L35" s="11">
        <f t="shared" si="5"/>
        <v>-1645.6091102805481</v>
      </c>
      <c r="M35" s="11">
        <f t="shared" si="5"/>
        <v>-1831.8736535825565</v>
      </c>
      <c r="N35" s="11">
        <f t="shared" si="5"/>
        <v>-1848.0960699854986</v>
      </c>
      <c r="P35" s="11">
        <f>P25-P33</f>
        <v>-13770.281624620991</v>
      </c>
    </row>
    <row r="36" spans="1:16" ht="5.25" customHeight="1" thickBot="1">
      <c r="A36" s="88"/>
    </row>
    <row r="37" spans="1:16" ht="15" thickBot="1">
      <c r="A37" s="85" t="s">
        <v>267</v>
      </c>
      <c r="C37" s="11">
        <f>C17+C35</f>
        <v>-1150.0000000000005</v>
      </c>
      <c r="E37" s="11">
        <f t="shared" ref="E37:N37" si="6">E17+E35</f>
        <v>-0.19992000000047483</v>
      </c>
      <c r="F37" s="11">
        <f t="shared" si="6"/>
        <v>-0.31386000000020431</v>
      </c>
      <c r="G37" s="11">
        <f t="shared" si="6"/>
        <v>1.1000000040439772E-4</v>
      </c>
      <c r="H37" s="11">
        <f t="shared" si="6"/>
        <v>1.1000000017702405E-4</v>
      </c>
      <c r="I37" s="11">
        <f t="shared" si="6"/>
        <v>8.0000000707514118E-5</v>
      </c>
      <c r="J37" s="11">
        <f t="shared" si="6"/>
        <v>9.0000000000145519E-5</v>
      </c>
      <c r="K37" s="11">
        <f t="shared" si="6"/>
        <v>-0.61527726267968319</v>
      </c>
      <c r="L37" s="11">
        <f t="shared" si="6"/>
        <v>-0.87762870451115305</v>
      </c>
      <c r="M37" s="11">
        <f t="shared" si="6"/>
        <v>-1.4676911852598096</v>
      </c>
      <c r="N37" s="11">
        <f t="shared" si="6"/>
        <v>-1.7464198359152761</v>
      </c>
      <c r="P37" s="11">
        <f>P17+P35</f>
        <v>-5.2204069883664488</v>
      </c>
    </row>
    <row r="38" spans="1:16" ht="15" thickBot="1"/>
    <row r="39" spans="1:16" ht="15" thickBot="1">
      <c r="A39" s="81" t="s">
        <v>268</v>
      </c>
      <c r="B39" s="82"/>
      <c r="C39" s="82" t="s">
        <v>96</v>
      </c>
      <c r="D39" s="82"/>
      <c r="E39" s="82" t="s">
        <v>86</v>
      </c>
      <c r="F39" s="82" t="s">
        <v>87</v>
      </c>
      <c r="G39" s="82" t="s">
        <v>88</v>
      </c>
      <c r="H39" s="82" t="s">
        <v>89</v>
      </c>
      <c r="I39" s="82" t="s">
        <v>90</v>
      </c>
      <c r="J39" s="82" t="s">
        <v>91</v>
      </c>
      <c r="K39" s="82" t="s">
        <v>92</v>
      </c>
      <c r="L39" s="82" t="s">
        <v>93</v>
      </c>
      <c r="M39" s="82" t="s">
        <v>94</v>
      </c>
      <c r="N39" s="82" t="s">
        <v>95</v>
      </c>
      <c r="O39" s="83"/>
    </row>
    <row r="40" spans="1:16" ht="15" thickBot="1">
      <c r="A40" s="4" t="s">
        <v>193</v>
      </c>
      <c r="C40" s="54">
        <f>C$8</f>
        <v>2386.4727972335913</v>
      </c>
      <c r="E40" s="54">
        <f t="shared" ref="E40:N40" si="7">E$8</f>
        <v>3176.7418499999999</v>
      </c>
      <c r="F40" s="54">
        <f t="shared" si="7"/>
        <v>3349.9030299999995</v>
      </c>
      <c r="G40" s="54">
        <f t="shared" si="7"/>
        <v>3726.3428699999999</v>
      </c>
      <c r="H40" s="54">
        <f t="shared" si="7"/>
        <v>3744.6446252519895</v>
      </c>
      <c r="I40" s="54">
        <f t="shared" si="7"/>
        <v>3918.7703728131178</v>
      </c>
      <c r="J40" s="54">
        <f t="shared" si="7"/>
        <v>4121.4156454623781</v>
      </c>
      <c r="K40" s="54">
        <f t="shared" si="7"/>
        <v>4549.8224278715215</v>
      </c>
      <c r="L40" s="54">
        <f t="shared" si="7"/>
        <v>5059.9635416320834</v>
      </c>
      <c r="M40" s="54">
        <f t="shared" si="7"/>
        <v>5465.5835423688713</v>
      </c>
      <c r="N40" s="54">
        <f t="shared" si="7"/>
        <v>5653.8104069435394</v>
      </c>
    </row>
    <row r="41" spans="1:16" ht="15" thickBot="1">
      <c r="A41" s="4" t="s">
        <v>269</v>
      </c>
      <c r="C41" s="54">
        <f>C$20+C$21+C$23+C$24</f>
        <v>201</v>
      </c>
      <c r="E41" s="54">
        <f t="shared" ref="E41:N41" si="8">E$20+E$21+E$23+E$24</f>
        <v>24</v>
      </c>
      <c r="F41" s="54">
        <f t="shared" si="8"/>
        <v>25</v>
      </c>
      <c r="G41" s="54">
        <f t="shared" si="8"/>
        <v>25</v>
      </c>
      <c r="H41" s="54">
        <f t="shared" si="8"/>
        <v>26</v>
      </c>
      <c r="I41" s="54">
        <f t="shared" si="8"/>
        <v>26</v>
      </c>
      <c r="J41" s="54">
        <f t="shared" si="8"/>
        <v>26</v>
      </c>
      <c r="K41" s="54">
        <f t="shared" si="8"/>
        <v>26</v>
      </c>
      <c r="L41" s="54">
        <f t="shared" si="8"/>
        <v>26</v>
      </c>
      <c r="M41" s="54">
        <f t="shared" si="8"/>
        <v>26</v>
      </c>
      <c r="N41" s="54">
        <f t="shared" si="8"/>
        <v>26</v>
      </c>
    </row>
    <row r="42" spans="1:16" ht="15" thickBot="1">
      <c r="A42" s="85" t="s">
        <v>270</v>
      </c>
      <c r="C42" s="10">
        <f>SUM(C40:C41)</f>
        <v>2587.4727972335913</v>
      </c>
      <c r="E42" s="11">
        <f t="shared" ref="E42:N42" si="9">SUM(E40:E41)</f>
        <v>3200.7418499999999</v>
      </c>
      <c r="F42" s="10">
        <f t="shared" si="9"/>
        <v>3374.9030299999995</v>
      </c>
      <c r="G42" s="11">
        <f t="shared" si="9"/>
        <v>3751.3428699999999</v>
      </c>
      <c r="H42" s="11">
        <f t="shared" si="9"/>
        <v>3770.6446252519895</v>
      </c>
      <c r="I42" s="11">
        <f t="shared" si="9"/>
        <v>3944.7703728131178</v>
      </c>
      <c r="J42" s="11">
        <f t="shared" si="9"/>
        <v>4147.4156454623781</v>
      </c>
      <c r="K42" s="11">
        <f t="shared" si="9"/>
        <v>4575.8224278715215</v>
      </c>
      <c r="L42" s="11">
        <f t="shared" si="9"/>
        <v>5085.9635416320834</v>
      </c>
      <c r="M42" s="11">
        <f t="shared" si="9"/>
        <v>5491.5835423688713</v>
      </c>
      <c r="N42" s="11">
        <f t="shared" si="9"/>
        <v>5679.8104069435394</v>
      </c>
    </row>
    <row r="43" spans="1:16" ht="5.25" customHeight="1" thickBot="1">
      <c r="A43" s="4"/>
      <c r="C43" s="89"/>
      <c r="E43" s="89"/>
      <c r="F43" s="89"/>
      <c r="G43" s="89"/>
      <c r="H43" s="89"/>
      <c r="I43" s="89"/>
      <c r="J43" s="89"/>
      <c r="K43" s="89"/>
      <c r="L43" s="89"/>
      <c r="M43" s="89"/>
      <c r="N43" s="89"/>
    </row>
    <row r="44" spans="1:16" ht="15" thickBot="1">
      <c r="A44" s="4" t="s">
        <v>271</v>
      </c>
      <c r="C44" s="54">
        <f>C$11+C$14</f>
        <v>1202.3813</v>
      </c>
      <c r="E44" s="54">
        <f t="shared" ref="E44:N44" si="10">E$11+E$14</f>
        <v>1162.3474200000001</v>
      </c>
      <c r="F44" s="54">
        <f t="shared" si="10"/>
        <v>1136.6012099999998</v>
      </c>
      <c r="G44" s="54">
        <f t="shared" si="10"/>
        <v>1067.0856200000001</v>
      </c>
      <c r="H44" s="54">
        <f t="shared" si="10"/>
        <v>1203.5747465069801</v>
      </c>
      <c r="I44" s="54">
        <f t="shared" si="10"/>
        <v>1209.8762371696548</v>
      </c>
      <c r="J44" s="54">
        <f t="shared" si="10"/>
        <v>1169.9050359139117</v>
      </c>
      <c r="K44" s="54">
        <f t="shared" si="10"/>
        <v>1180.4501521241377</v>
      </c>
      <c r="L44" s="54">
        <f t="shared" si="10"/>
        <v>1191.1294132559881</v>
      </c>
      <c r="M44" s="54">
        <f t="shared" si="10"/>
        <v>1209.8839168688992</v>
      </c>
      <c r="N44" s="54">
        <f t="shared" si="10"/>
        <v>1217.6493790638619</v>
      </c>
    </row>
    <row r="45" spans="1:16" ht="15" thickBot="1">
      <c r="A45" s="4" t="s">
        <v>250</v>
      </c>
      <c r="C45" s="54">
        <f>C$12</f>
        <v>63.094369999999998</v>
      </c>
      <c r="E45" s="54">
        <f t="shared" ref="E45:N45" si="11">E$12</f>
        <v>109.56399999999999</v>
      </c>
      <c r="F45" s="54">
        <f t="shared" si="11"/>
        <v>120.68300000000001</v>
      </c>
      <c r="G45" s="54">
        <f t="shared" si="11"/>
        <v>194.20600000000002</v>
      </c>
      <c r="H45" s="54">
        <f t="shared" si="11"/>
        <v>731.36621389865763</v>
      </c>
      <c r="I45" s="54">
        <f t="shared" si="11"/>
        <v>849.19954607018053</v>
      </c>
      <c r="J45" s="54">
        <f t="shared" si="11"/>
        <v>968.92491451867954</v>
      </c>
      <c r="K45" s="54">
        <f t="shared" si="11"/>
        <v>1117.7166316870905</v>
      </c>
      <c r="L45" s="54">
        <f t="shared" si="11"/>
        <v>1294.1126768000584</v>
      </c>
      <c r="M45" s="54">
        <f t="shared" si="11"/>
        <v>1473.5700431026753</v>
      </c>
      <c r="N45" s="54">
        <f t="shared" si="11"/>
        <v>1623.6079077300942</v>
      </c>
    </row>
    <row r="46" spans="1:16" ht="15" thickBot="1">
      <c r="A46" s="4" t="s">
        <v>272</v>
      </c>
      <c r="C46" s="54">
        <f>C$13</f>
        <v>738.68413999999996</v>
      </c>
      <c r="E46" s="54">
        <f t="shared" ref="E46:N46" si="12">E$13</f>
        <v>763.35549000000003</v>
      </c>
      <c r="F46" s="54">
        <f t="shared" si="12"/>
        <v>806.03546000000006</v>
      </c>
      <c r="G46" s="54">
        <f t="shared" si="12"/>
        <v>828.6611200000001</v>
      </c>
      <c r="H46" s="54">
        <f t="shared" si="12"/>
        <v>849.65632000000005</v>
      </c>
      <c r="I46" s="54">
        <f t="shared" si="12"/>
        <v>871.38592000000006</v>
      </c>
      <c r="J46" s="54">
        <f t="shared" si="12"/>
        <v>894.66877999999997</v>
      </c>
      <c r="K46" s="54">
        <f t="shared" si="12"/>
        <v>908.80288000000007</v>
      </c>
      <c r="L46" s="54">
        <f t="shared" si="12"/>
        <v>929.98996999999997</v>
      </c>
      <c r="M46" s="54">
        <f t="shared" si="12"/>
        <v>951.7236200000001</v>
      </c>
      <c r="N46" s="54">
        <f t="shared" si="12"/>
        <v>966.20347000000004</v>
      </c>
    </row>
    <row r="47" spans="1:16" ht="15" thickBot="1">
      <c r="A47" s="4" t="s">
        <v>273</v>
      </c>
      <c r="C47" s="54">
        <f>Input!N20</f>
        <v>0</v>
      </c>
      <c r="E47" s="54">
        <f>Input!C$20</f>
        <v>1568.3241399999999</v>
      </c>
      <c r="F47" s="54">
        <f>Input!D$20</f>
        <v>1453.62922</v>
      </c>
      <c r="G47" s="54">
        <f>Input!E$20</f>
        <v>1592.6920200000002</v>
      </c>
      <c r="H47" s="54">
        <f>Input!F$20</f>
        <v>1661.9798800000001</v>
      </c>
      <c r="I47" s="54">
        <f>Input!G$20</f>
        <v>1758.0416200000002</v>
      </c>
      <c r="J47" s="54">
        <f>Input!H$20</f>
        <v>1872.3243199999999</v>
      </c>
      <c r="K47" s="54">
        <f>Input!I$20</f>
        <v>1948.9255002849188</v>
      </c>
      <c r="L47" s="54">
        <f>Input!J$20</f>
        <v>2040.4069093495693</v>
      </c>
      <c r="M47" s="54">
        <f>Input!K$20</f>
        <v>2219.136827808235</v>
      </c>
      <c r="N47" s="54">
        <f>Input!L$20</f>
        <v>2290.8291266886149</v>
      </c>
    </row>
    <row r="48" spans="1:16" ht="15" thickBot="1">
      <c r="A48" s="85" t="s">
        <v>274</v>
      </c>
      <c r="C48" s="10">
        <f>SUM(C44:C47)</f>
        <v>2004.1598100000001</v>
      </c>
      <c r="E48" s="10">
        <f t="shared" ref="E48:N48" si="13">SUM(E44:E47)</f>
        <v>3603.59105</v>
      </c>
      <c r="F48" s="11">
        <f t="shared" si="13"/>
        <v>3516.9488899999997</v>
      </c>
      <c r="G48" s="11">
        <f t="shared" si="13"/>
        <v>3682.6447600000001</v>
      </c>
      <c r="H48" s="11">
        <f t="shared" si="13"/>
        <v>4446.5771604056381</v>
      </c>
      <c r="I48" s="11">
        <f t="shared" si="13"/>
        <v>4688.5033232398355</v>
      </c>
      <c r="J48" s="11">
        <f t="shared" si="13"/>
        <v>4905.8230504325911</v>
      </c>
      <c r="K48" s="11">
        <f t="shared" si="13"/>
        <v>5155.8951640961468</v>
      </c>
      <c r="L48" s="11">
        <f t="shared" si="13"/>
        <v>5455.6389694056161</v>
      </c>
      <c r="M48" s="11">
        <f t="shared" si="13"/>
        <v>5854.3144077798097</v>
      </c>
      <c r="N48" s="11">
        <f t="shared" si="13"/>
        <v>6098.289883482571</v>
      </c>
    </row>
    <row r="49" spans="1:15" ht="5.25" customHeight="1" thickBot="1">
      <c r="A49" s="4"/>
      <c r="C49" s="54"/>
      <c r="E49" s="89"/>
      <c r="F49" s="89"/>
      <c r="G49" s="89"/>
      <c r="H49" s="89"/>
      <c r="I49" s="89"/>
      <c r="J49" s="89"/>
      <c r="K49" s="89"/>
      <c r="L49" s="89"/>
      <c r="M49" s="89"/>
      <c r="N49" s="89"/>
    </row>
    <row r="50" spans="1:15" ht="15" thickBot="1">
      <c r="A50" s="85" t="s">
        <v>275</v>
      </c>
      <c r="C50" s="10">
        <f>C42-C48</f>
        <v>583.31298723359123</v>
      </c>
      <c r="E50" s="11">
        <f t="shared" ref="E50:N50" si="14">E42-E48</f>
        <v>-402.84920000000011</v>
      </c>
      <c r="F50" s="11">
        <f t="shared" si="14"/>
        <v>-142.04586000000018</v>
      </c>
      <c r="G50" s="11">
        <f t="shared" si="14"/>
        <v>68.698109999999815</v>
      </c>
      <c r="H50" s="11">
        <f t="shared" si="14"/>
        <v>-675.93253515364859</v>
      </c>
      <c r="I50" s="10">
        <f t="shared" si="14"/>
        <v>-743.73295042671771</v>
      </c>
      <c r="J50" s="11">
        <f t="shared" si="14"/>
        <v>-758.40740497021307</v>
      </c>
      <c r="K50" s="11">
        <f t="shared" si="14"/>
        <v>-580.07273622462526</v>
      </c>
      <c r="L50" s="11">
        <f t="shared" si="14"/>
        <v>-369.67542777353265</v>
      </c>
      <c r="M50" s="11">
        <f t="shared" si="14"/>
        <v>-362.73086541093835</v>
      </c>
      <c r="N50" s="10">
        <f t="shared" si="14"/>
        <v>-418.47947653903157</v>
      </c>
    </row>
    <row r="51" spans="1:15" ht="5.25" customHeight="1" thickBot="1">
      <c r="A51" s="4"/>
      <c r="C51" s="54"/>
      <c r="E51" s="89"/>
      <c r="F51" s="89"/>
      <c r="G51" s="89"/>
      <c r="H51" s="89"/>
      <c r="I51" s="89"/>
      <c r="J51" s="89"/>
      <c r="K51" s="89"/>
      <c r="L51" s="89"/>
      <c r="M51" s="89"/>
      <c r="N51" s="89"/>
    </row>
    <row r="52" spans="1:15" ht="15" thickBot="1">
      <c r="A52" s="4" t="s">
        <v>276</v>
      </c>
      <c r="C52" s="91">
        <f>Input!N25</f>
        <v>0</v>
      </c>
      <c r="E52" s="54">
        <f>Input!C$25</f>
        <v>1474.5260600000015</v>
      </c>
      <c r="F52" s="54">
        <f>Input!D$25</f>
        <v>2248.2377997119997</v>
      </c>
      <c r="G52" s="54">
        <f>Input!E$25</f>
        <v>2528.4315696236872</v>
      </c>
      <c r="H52" s="54">
        <f>Input!F$25</f>
        <v>2464.1427212657086</v>
      </c>
      <c r="I52" s="54">
        <f>Input!G$25</f>
        <v>2951.6328851434446</v>
      </c>
      <c r="J52" s="54">
        <f>Input!H$25</f>
        <v>2630.8444386404872</v>
      </c>
      <c r="K52" s="54">
        <f>Input!I$25</f>
        <v>3076.0073199870676</v>
      </c>
      <c r="L52" s="54">
        <f>Input!J$25</f>
        <v>2723.2754098408213</v>
      </c>
      <c r="M52" s="54">
        <f>Input!K$25</f>
        <v>3439.2085363612232</v>
      </c>
      <c r="N52" s="54">
        <f>Input!L$25</f>
        <v>2812.9974482338762</v>
      </c>
    </row>
    <row r="53" spans="1:15" ht="15" thickBot="1">
      <c r="A53" s="85" t="s">
        <v>277</v>
      </c>
      <c r="C53" s="10">
        <f>C50+C52</f>
        <v>583.31298723359123</v>
      </c>
      <c r="E53" s="10">
        <f t="shared" ref="E53:N53" si="15">E50+E52</f>
        <v>1071.6768600000014</v>
      </c>
      <c r="F53" s="10">
        <f t="shared" si="15"/>
        <v>2106.1919397119996</v>
      </c>
      <c r="G53" s="10">
        <f t="shared" si="15"/>
        <v>2597.129679623687</v>
      </c>
      <c r="H53" s="10">
        <f t="shared" si="15"/>
        <v>1788.21018611206</v>
      </c>
      <c r="I53" s="10">
        <f t="shared" si="15"/>
        <v>2207.8999347167269</v>
      </c>
      <c r="J53" s="10">
        <f t="shared" si="15"/>
        <v>1872.4370336702741</v>
      </c>
      <c r="K53" s="10">
        <f t="shared" si="15"/>
        <v>2495.9345837624423</v>
      </c>
      <c r="L53" s="10">
        <f t="shared" si="15"/>
        <v>2353.5999820672887</v>
      </c>
      <c r="M53" s="10">
        <f t="shared" si="15"/>
        <v>3076.4776709502848</v>
      </c>
      <c r="N53" s="10">
        <f t="shared" si="15"/>
        <v>2394.5179716948446</v>
      </c>
    </row>
    <row r="54" spans="1:15" ht="5.25" customHeight="1" thickBot="1">
      <c r="A54" s="4"/>
      <c r="C54" s="54"/>
      <c r="E54" s="89"/>
      <c r="F54" s="89"/>
      <c r="G54" s="89"/>
      <c r="H54" s="89"/>
      <c r="I54" s="89"/>
      <c r="J54" s="89"/>
      <c r="K54" s="89"/>
      <c r="L54" s="89"/>
      <c r="M54" s="89"/>
      <c r="N54" s="89"/>
    </row>
    <row r="55" spans="1:15" ht="15" thickBot="1">
      <c r="A55" s="85" t="s">
        <v>278</v>
      </c>
      <c r="C55" s="10">
        <f>C50+C47</f>
        <v>583.31298723359123</v>
      </c>
      <c r="E55" s="11">
        <f t="shared" ref="E55:N55" si="16">E50+E47</f>
        <v>1165.4749399999998</v>
      </c>
      <c r="F55" s="10">
        <f t="shared" si="16"/>
        <v>1311.5833599999999</v>
      </c>
      <c r="G55" s="11">
        <f t="shared" si="16"/>
        <v>1661.39013</v>
      </c>
      <c r="H55" s="11">
        <f t="shared" si="16"/>
        <v>986.04734484635151</v>
      </c>
      <c r="I55" s="11">
        <f t="shared" si="16"/>
        <v>1014.3086695732825</v>
      </c>
      <c r="J55" s="11">
        <f t="shared" si="16"/>
        <v>1113.9169150297869</v>
      </c>
      <c r="K55" s="11">
        <f t="shared" si="16"/>
        <v>1368.8527640602936</v>
      </c>
      <c r="L55" s="11">
        <f t="shared" si="16"/>
        <v>1670.7314815760367</v>
      </c>
      <c r="M55" s="11">
        <f t="shared" si="16"/>
        <v>1856.4059623972967</v>
      </c>
      <c r="N55" s="11">
        <f t="shared" si="16"/>
        <v>1872.3496501495833</v>
      </c>
    </row>
    <row r="56" spans="1:15" ht="15" thickBot="1"/>
    <row r="57" spans="1:15" ht="15" thickBot="1">
      <c r="A57" s="81" t="s">
        <v>279</v>
      </c>
      <c r="B57" s="82"/>
      <c r="C57" s="82" t="s">
        <v>96</v>
      </c>
      <c r="D57" s="82"/>
      <c r="E57" s="82" t="s">
        <v>86</v>
      </c>
      <c r="F57" s="82" t="s">
        <v>87</v>
      </c>
      <c r="G57" s="82" t="s">
        <v>88</v>
      </c>
      <c r="H57" s="82" t="s">
        <v>89</v>
      </c>
      <c r="I57" s="82" t="s">
        <v>90</v>
      </c>
      <c r="J57" s="82" t="s">
        <v>91</v>
      </c>
      <c r="K57" s="82" t="s">
        <v>92</v>
      </c>
      <c r="L57" s="82" t="s">
        <v>93</v>
      </c>
      <c r="M57" s="82" t="s">
        <v>94</v>
      </c>
      <c r="N57" s="82" t="s">
        <v>95</v>
      </c>
    </row>
    <row r="58" spans="1:15" ht="15" thickBot="1">
      <c r="A58" s="43" t="s">
        <v>280</v>
      </c>
      <c r="C58" s="3"/>
      <c r="E58" s="3"/>
      <c r="F58" s="3"/>
      <c r="G58" s="3"/>
      <c r="H58" s="3"/>
      <c r="I58" s="3"/>
      <c r="J58" s="3"/>
      <c r="K58" s="3"/>
      <c r="L58" s="3"/>
      <c r="M58" s="3"/>
      <c r="N58" s="3"/>
      <c r="O58" s="83"/>
    </row>
    <row r="59" spans="1:15" ht="15" thickBot="1">
      <c r="A59" s="4" t="s">
        <v>281</v>
      </c>
      <c r="C59" s="54">
        <f>C$55</f>
        <v>583.31298723359123</v>
      </c>
      <c r="E59" s="54">
        <f t="shared" ref="E59:N59" si="17">E$55</f>
        <v>1165.4749399999998</v>
      </c>
      <c r="F59" s="54">
        <f t="shared" si="17"/>
        <v>1311.5833599999999</v>
      </c>
      <c r="G59" s="54">
        <f t="shared" si="17"/>
        <v>1661.39013</v>
      </c>
      <c r="H59" s="54">
        <f t="shared" si="17"/>
        <v>986.04734484635151</v>
      </c>
      <c r="I59" s="54">
        <f t="shared" si="17"/>
        <v>1014.3086695732825</v>
      </c>
      <c r="J59" s="54">
        <f t="shared" si="17"/>
        <v>1113.9169150297869</v>
      </c>
      <c r="K59" s="54">
        <f t="shared" si="17"/>
        <v>1368.8527640602936</v>
      </c>
      <c r="L59" s="54">
        <f t="shared" si="17"/>
        <v>1670.7314815760367</v>
      </c>
      <c r="M59" s="54">
        <f t="shared" si="17"/>
        <v>1856.4059623972967</v>
      </c>
      <c r="N59" s="54">
        <f t="shared" si="17"/>
        <v>1872.3496501495833</v>
      </c>
    </row>
    <row r="60" spans="1:15" ht="15" thickBot="1">
      <c r="A60" s="4" t="s">
        <v>282</v>
      </c>
      <c r="C60" s="54"/>
      <c r="E60" s="54"/>
      <c r="F60" s="54"/>
      <c r="G60" s="54"/>
      <c r="H60" s="54"/>
      <c r="I60" s="54"/>
      <c r="J60" s="54"/>
      <c r="K60" s="54"/>
      <c r="L60" s="54"/>
      <c r="M60" s="54"/>
      <c r="N60" s="54"/>
    </row>
    <row r="61" spans="1:15" ht="15" thickBot="1">
      <c r="A61" s="85" t="s">
        <v>283</v>
      </c>
      <c r="C61" s="10">
        <f>SUM(C59:C60)</f>
        <v>583.31298723359123</v>
      </c>
      <c r="E61" s="10">
        <f t="shared" ref="E61:N61" si="18">SUM(E59:E60)</f>
        <v>1165.4749399999998</v>
      </c>
      <c r="F61" s="10">
        <f t="shared" si="18"/>
        <v>1311.5833599999999</v>
      </c>
      <c r="G61" s="10">
        <f t="shared" si="18"/>
        <v>1661.39013</v>
      </c>
      <c r="H61" s="10">
        <f t="shared" si="18"/>
        <v>986.04734484635151</v>
      </c>
      <c r="I61" s="10">
        <f t="shared" si="18"/>
        <v>1014.3086695732825</v>
      </c>
      <c r="J61" s="10">
        <f t="shared" si="18"/>
        <v>1113.9169150297869</v>
      </c>
      <c r="K61" s="10">
        <f t="shared" si="18"/>
        <v>1368.8527640602936</v>
      </c>
      <c r="L61" s="10">
        <f t="shared" si="18"/>
        <v>1670.7314815760367</v>
      </c>
      <c r="M61" s="10">
        <f t="shared" si="18"/>
        <v>1856.4059623972967</v>
      </c>
      <c r="N61" s="10">
        <f t="shared" si="18"/>
        <v>1872.3496501495833</v>
      </c>
    </row>
    <row r="62" spans="1:15" ht="5.25" customHeight="1" thickBot="1">
      <c r="A62" s="4"/>
      <c r="C62" s="54"/>
      <c r="E62" s="89"/>
      <c r="F62" s="89"/>
      <c r="G62" s="89"/>
      <c r="H62" s="89"/>
      <c r="I62" s="89"/>
      <c r="J62" s="89"/>
      <c r="K62" s="89"/>
      <c r="L62" s="89"/>
      <c r="M62" s="89"/>
      <c r="N62" s="89"/>
    </row>
    <row r="63" spans="1:15" ht="15" thickBot="1">
      <c r="A63" s="43" t="s">
        <v>284</v>
      </c>
      <c r="C63" s="3"/>
      <c r="E63" s="3"/>
      <c r="F63" s="3"/>
      <c r="G63" s="3"/>
      <c r="H63" s="3"/>
      <c r="I63" s="3"/>
      <c r="J63" s="3"/>
      <c r="K63" s="3"/>
      <c r="L63" s="3"/>
      <c r="M63" s="3"/>
      <c r="N63" s="3"/>
      <c r="O63" s="83"/>
    </row>
    <row r="64" spans="1:15" ht="15" thickBot="1">
      <c r="A64" s="4" t="s">
        <v>282</v>
      </c>
      <c r="C64" s="54"/>
      <c r="E64" s="54"/>
      <c r="F64" s="54"/>
      <c r="G64" s="54"/>
      <c r="H64" s="54">
        <f>-H32</f>
        <v>-749.80170098363897</v>
      </c>
      <c r="I64" s="54"/>
      <c r="J64" s="54"/>
      <c r="K64" s="54"/>
      <c r="L64" s="54"/>
      <c r="M64" s="54"/>
      <c r="N64" s="54"/>
    </row>
    <row r="65" spans="1:15" ht="15" thickBot="1">
      <c r="A65" s="4" t="s">
        <v>183</v>
      </c>
      <c r="C65" s="54">
        <f>-SUM(C$28:C$30)</f>
        <v>-1912.51331</v>
      </c>
      <c r="E65" s="54">
        <f t="shared" ref="E65:N65" si="19">-SUM(E$28:E$30)</f>
        <v>-1201.34628</v>
      </c>
      <c r="F65" s="54">
        <f t="shared" si="19"/>
        <v>-3064.0483299999996</v>
      </c>
      <c r="G65" s="54">
        <f t="shared" si="19"/>
        <v>-4218.565129999999</v>
      </c>
      <c r="H65" s="54">
        <f t="shared" si="19"/>
        <v>-2656.9363499999999</v>
      </c>
      <c r="I65" s="54">
        <f t="shared" si="19"/>
        <v>-2824.9365200000002</v>
      </c>
      <c r="J65" s="54">
        <f t="shared" si="19"/>
        <v>-3488.8872010839932</v>
      </c>
      <c r="K65" s="54">
        <f t="shared" si="19"/>
        <v>-4024.0777580468257</v>
      </c>
      <c r="L65" s="54">
        <f t="shared" si="19"/>
        <v>-4079.3635746457562</v>
      </c>
      <c r="M65" s="54">
        <f t="shared" si="19"/>
        <v>-3721.0778383333677</v>
      </c>
      <c r="N65" s="54">
        <f t="shared" si="19"/>
        <v>-3159.5957291157574</v>
      </c>
    </row>
    <row r="66" spans="1:15" ht="15" thickBot="1">
      <c r="A66" s="85" t="s">
        <v>285</v>
      </c>
      <c r="C66" s="10">
        <f>SUM(C64:C65)</f>
        <v>-1912.51331</v>
      </c>
      <c r="E66" s="10">
        <f t="shared" ref="E66:N66" si="20">SUM(E64:E65)</f>
        <v>-1201.34628</v>
      </c>
      <c r="F66" s="10">
        <f t="shared" si="20"/>
        <v>-3064.0483299999996</v>
      </c>
      <c r="G66" s="10">
        <f t="shared" si="20"/>
        <v>-4218.565129999999</v>
      </c>
      <c r="H66" s="10">
        <f t="shared" si="20"/>
        <v>-3406.7380509836389</v>
      </c>
      <c r="I66" s="10">
        <f t="shared" si="20"/>
        <v>-2824.9365200000002</v>
      </c>
      <c r="J66" s="10">
        <f t="shared" si="20"/>
        <v>-3488.8872010839932</v>
      </c>
      <c r="K66" s="10">
        <f t="shared" si="20"/>
        <v>-4024.0777580468257</v>
      </c>
      <c r="L66" s="10">
        <f t="shared" si="20"/>
        <v>-4079.3635746457562</v>
      </c>
      <c r="M66" s="10">
        <f t="shared" si="20"/>
        <v>-3721.0778383333677</v>
      </c>
      <c r="N66" s="10">
        <f t="shared" si="20"/>
        <v>-3159.5957291157574</v>
      </c>
    </row>
    <row r="67" spans="1:15" ht="5.25" customHeight="1" thickBot="1">
      <c r="A67" s="4"/>
      <c r="C67" s="54"/>
      <c r="E67" s="89"/>
      <c r="F67" s="89"/>
      <c r="G67" s="89"/>
      <c r="H67" s="89"/>
      <c r="I67" s="89"/>
      <c r="J67" s="89"/>
      <c r="K67" s="89"/>
      <c r="L67" s="89"/>
      <c r="M67" s="89"/>
      <c r="N67" s="89"/>
    </row>
    <row r="68" spans="1:15" ht="15" thickBot="1">
      <c r="A68" s="43" t="s">
        <v>286</v>
      </c>
      <c r="C68" s="3"/>
      <c r="E68" s="3"/>
      <c r="F68" s="3"/>
      <c r="G68" s="3"/>
      <c r="H68" s="3"/>
      <c r="I68" s="3"/>
      <c r="J68" s="3"/>
      <c r="K68" s="3"/>
      <c r="L68" s="3"/>
      <c r="M68" s="3"/>
      <c r="N68" s="3"/>
      <c r="O68" s="83"/>
    </row>
    <row r="69" spans="1:15" ht="15" thickBot="1">
      <c r="A69" s="4" t="s">
        <v>287</v>
      </c>
      <c r="C69" s="54">
        <f>C$22-C$70</f>
        <v>-614.91999999999996</v>
      </c>
      <c r="E69" s="54">
        <f>E$22-E$70-E31</f>
        <v>35.671420000000012</v>
      </c>
      <c r="F69" s="54">
        <f t="shared" ref="F69:N69" si="21">F$22-F$70-F31</f>
        <v>1752.1511099999998</v>
      </c>
      <c r="G69" s="54">
        <f t="shared" si="21"/>
        <v>2557.1751100000001</v>
      </c>
      <c r="H69" s="54">
        <f t="shared" si="21"/>
        <v>2420.6908161372876</v>
      </c>
      <c r="I69" s="54">
        <f t="shared" si="21"/>
        <v>1810.6279304267186</v>
      </c>
      <c r="J69" s="54">
        <f t="shared" si="21"/>
        <v>2374.9703760542066</v>
      </c>
      <c r="K69" s="54">
        <f t="shared" si="21"/>
        <v>2654.6097167238527</v>
      </c>
      <c r="L69" s="54">
        <f t="shared" si="21"/>
        <v>2407.7544643652082</v>
      </c>
      <c r="M69" s="54">
        <f t="shared" si="21"/>
        <v>1863.2041847508115</v>
      </c>
      <c r="N69" s="54">
        <f t="shared" si="21"/>
        <v>1285.499659130259</v>
      </c>
    </row>
    <row r="70" spans="1:15" ht="15" thickBot="1">
      <c r="A70" s="4" t="s">
        <v>288</v>
      </c>
      <c r="C70" s="54"/>
      <c r="E70" s="54"/>
      <c r="F70" s="54"/>
      <c r="G70" s="54"/>
      <c r="H70" s="54"/>
      <c r="I70" s="54"/>
      <c r="J70" s="54"/>
      <c r="K70" s="54"/>
      <c r="L70" s="54"/>
      <c r="M70" s="54"/>
      <c r="N70" s="54"/>
    </row>
    <row r="71" spans="1:15" ht="15" thickBot="1">
      <c r="A71" s="85" t="s">
        <v>289</v>
      </c>
      <c r="C71" s="10">
        <f>SUM(C69:C70)</f>
        <v>-614.91999999999996</v>
      </c>
      <c r="E71" s="10">
        <f t="shared" ref="E71:N71" si="22">SUM(E69:E70)</f>
        <v>35.671420000000012</v>
      </c>
      <c r="F71" s="10">
        <f t="shared" si="22"/>
        <v>1752.1511099999998</v>
      </c>
      <c r="G71" s="10">
        <f t="shared" si="22"/>
        <v>2557.1751100000001</v>
      </c>
      <c r="H71" s="10">
        <f t="shared" si="22"/>
        <v>2420.6908161372876</v>
      </c>
      <c r="I71" s="10">
        <f t="shared" si="22"/>
        <v>1810.6279304267186</v>
      </c>
      <c r="J71" s="10">
        <f t="shared" si="22"/>
        <v>2374.9703760542066</v>
      </c>
      <c r="K71" s="10">
        <f t="shared" si="22"/>
        <v>2654.6097167238527</v>
      </c>
      <c r="L71" s="10">
        <f t="shared" si="22"/>
        <v>2407.7544643652082</v>
      </c>
      <c r="M71" s="10">
        <f t="shared" si="22"/>
        <v>1863.2041847508115</v>
      </c>
      <c r="N71" s="10">
        <f t="shared" si="22"/>
        <v>1285.499659130259</v>
      </c>
    </row>
    <row r="72" spans="1:15" ht="5.25" customHeight="1" thickBot="1">
      <c r="A72" s="4"/>
      <c r="C72" s="89"/>
      <c r="E72" s="89"/>
      <c r="F72" s="89"/>
      <c r="G72" s="89"/>
      <c r="H72" s="89"/>
      <c r="I72" s="89"/>
      <c r="J72" s="89"/>
      <c r="K72" s="89"/>
      <c r="L72" s="89"/>
      <c r="M72" s="89"/>
      <c r="N72" s="89"/>
    </row>
    <row r="73" spans="1:15" ht="15" thickBot="1">
      <c r="A73" s="85" t="s">
        <v>290</v>
      </c>
      <c r="C73" s="11">
        <f>C61+C66+C71</f>
        <v>-1944.1203227664087</v>
      </c>
      <c r="E73" s="11">
        <f t="shared" ref="E73:N73" si="23">E61+E66+E71</f>
        <v>-0.19992000000013377</v>
      </c>
      <c r="F73" s="11">
        <f t="shared" si="23"/>
        <v>-0.31385999999997694</v>
      </c>
      <c r="G73" s="11">
        <f t="shared" si="23"/>
        <v>1.1000000085914508E-4</v>
      </c>
      <c r="H73" s="11">
        <f t="shared" si="23"/>
        <v>1.0999999994965037E-4</v>
      </c>
      <c r="I73" s="11">
        <f t="shared" si="23"/>
        <v>8.0000000934887794E-5</v>
      </c>
      <c r="J73" s="11">
        <f t="shared" si="23"/>
        <v>9.0000000000145519E-5</v>
      </c>
      <c r="K73" s="11">
        <f t="shared" si="23"/>
        <v>-0.61527726267968319</v>
      </c>
      <c r="L73" s="11">
        <f t="shared" si="23"/>
        <v>-0.87762870451115305</v>
      </c>
      <c r="M73" s="11">
        <f t="shared" si="23"/>
        <v>-1.4676911852595822</v>
      </c>
      <c r="N73" s="11">
        <f t="shared" si="23"/>
        <v>-1.7464198359150487</v>
      </c>
    </row>
    <row r="74" spans="1:15" ht="5.25" customHeight="1" thickBot="1">
      <c r="A74" s="4"/>
      <c r="C74" s="89"/>
      <c r="E74" s="89"/>
      <c r="F74" s="89"/>
      <c r="G74" s="89"/>
      <c r="H74" s="89"/>
      <c r="I74" s="89"/>
      <c r="J74" s="89"/>
      <c r="K74" s="89"/>
      <c r="L74" s="89"/>
      <c r="M74" s="89"/>
      <c r="N74" s="89"/>
    </row>
    <row r="75" spans="1:15" ht="15" thickBot="1">
      <c r="A75" s="85" t="s">
        <v>291</v>
      </c>
      <c r="C75" s="10">
        <f>C76-C73</f>
        <v>2692.1203227664087</v>
      </c>
      <c r="E75" s="11">
        <f>C76</f>
        <v>748</v>
      </c>
      <c r="F75" s="11">
        <f t="shared" ref="F75:N75" si="24">E76</f>
        <v>747.80007999999987</v>
      </c>
      <c r="G75" s="11">
        <f t="shared" si="24"/>
        <v>747.48621999999989</v>
      </c>
      <c r="H75" s="11">
        <f t="shared" si="24"/>
        <v>747.48633000000075</v>
      </c>
      <c r="I75" s="11">
        <f t="shared" si="24"/>
        <v>747.4864400000007</v>
      </c>
      <c r="J75" s="11">
        <f t="shared" si="24"/>
        <v>747.48652000000163</v>
      </c>
      <c r="K75" s="11">
        <f t="shared" si="24"/>
        <v>747.48661000000163</v>
      </c>
      <c r="L75" s="11">
        <f t="shared" si="24"/>
        <v>746.87133273732195</v>
      </c>
      <c r="M75" s="11">
        <f t="shared" si="24"/>
        <v>745.9937040328108</v>
      </c>
      <c r="N75" s="11">
        <f t="shared" si="24"/>
        <v>744.52601284755121</v>
      </c>
    </row>
    <row r="76" spans="1:15" ht="15" thickBot="1">
      <c r="A76" s="85" t="s">
        <v>292</v>
      </c>
      <c r="C76" s="11">
        <f>C80</f>
        <v>748</v>
      </c>
      <c r="E76" s="11">
        <f t="shared" ref="E76:N76" si="25">E73+E75</f>
        <v>747.80007999999987</v>
      </c>
      <c r="F76" s="11">
        <f t="shared" si="25"/>
        <v>747.48621999999989</v>
      </c>
      <c r="G76" s="11">
        <f t="shared" si="25"/>
        <v>747.48633000000075</v>
      </c>
      <c r="H76" s="11">
        <f t="shared" si="25"/>
        <v>747.4864400000007</v>
      </c>
      <c r="I76" s="11">
        <f t="shared" si="25"/>
        <v>747.48652000000163</v>
      </c>
      <c r="J76" s="11">
        <f t="shared" si="25"/>
        <v>747.48661000000163</v>
      </c>
      <c r="K76" s="11">
        <f t="shared" si="25"/>
        <v>746.87133273732195</v>
      </c>
      <c r="L76" s="11">
        <f t="shared" si="25"/>
        <v>745.9937040328108</v>
      </c>
      <c r="M76" s="11">
        <f t="shared" si="25"/>
        <v>744.52601284755121</v>
      </c>
      <c r="N76" s="11">
        <f t="shared" si="25"/>
        <v>742.77959301163617</v>
      </c>
    </row>
    <row r="77" spans="1:15" ht="15" thickBot="1"/>
    <row r="78" spans="1:15" ht="15" thickBot="1">
      <c r="A78" s="81" t="s">
        <v>293</v>
      </c>
      <c r="B78" s="82"/>
      <c r="C78" s="82" t="s">
        <v>96</v>
      </c>
      <c r="D78" s="82"/>
      <c r="E78" s="82" t="s">
        <v>86</v>
      </c>
      <c r="F78" s="82" t="s">
        <v>87</v>
      </c>
      <c r="G78" s="82" t="s">
        <v>88</v>
      </c>
      <c r="H78" s="82" t="s">
        <v>89</v>
      </c>
      <c r="I78" s="82" t="s">
        <v>90</v>
      </c>
      <c r="J78" s="82" t="s">
        <v>91</v>
      </c>
      <c r="K78" s="82" t="s">
        <v>92</v>
      </c>
      <c r="L78" s="82" t="s">
        <v>93</v>
      </c>
      <c r="M78" s="82" t="s">
        <v>94</v>
      </c>
      <c r="N78" s="82" t="s">
        <v>95</v>
      </c>
      <c r="O78" s="83"/>
    </row>
    <row r="79" spans="1:15" ht="15" thickBot="1">
      <c r="A79" s="43" t="s">
        <v>294</v>
      </c>
      <c r="C79" s="3"/>
      <c r="E79" s="3"/>
      <c r="F79" s="3"/>
      <c r="G79" s="3"/>
      <c r="H79" s="3"/>
      <c r="I79" s="3"/>
      <c r="J79" s="3"/>
      <c r="K79" s="3"/>
      <c r="L79" s="3"/>
      <c r="M79" s="3"/>
      <c r="N79" s="3"/>
      <c r="O79" s="83"/>
    </row>
    <row r="80" spans="1:15" ht="15" thickBot="1">
      <c r="A80" s="4" t="s">
        <v>295</v>
      </c>
      <c r="C80" s="54">
        <f>Input!$E$9</f>
        <v>748</v>
      </c>
      <c r="E80" s="54">
        <f t="shared" ref="E80:N80" si="26">E76</f>
        <v>747.80007999999987</v>
      </c>
      <c r="F80" s="54">
        <f t="shared" si="26"/>
        <v>747.48621999999989</v>
      </c>
      <c r="G80" s="54">
        <f t="shared" si="26"/>
        <v>747.48633000000075</v>
      </c>
      <c r="H80" s="54">
        <f t="shared" si="26"/>
        <v>747.4864400000007</v>
      </c>
      <c r="I80" s="54">
        <f t="shared" si="26"/>
        <v>747.48652000000163</v>
      </c>
      <c r="J80" s="54">
        <f t="shared" si="26"/>
        <v>747.48661000000163</v>
      </c>
      <c r="K80" s="54">
        <f t="shared" si="26"/>
        <v>746.87133273732195</v>
      </c>
      <c r="L80" s="54">
        <f t="shared" si="26"/>
        <v>745.9937040328108</v>
      </c>
      <c r="M80" s="54">
        <f t="shared" si="26"/>
        <v>744.52601284755121</v>
      </c>
      <c r="N80" s="54">
        <f t="shared" si="26"/>
        <v>742.77959301163617</v>
      </c>
    </row>
    <row r="81" spans="1:15" ht="15" thickBot="1">
      <c r="A81" s="4" t="s">
        <v>296</v>
      </c>
      <c r="C81" s="54"/>
      <c r="E81" s="54"/>
      <c r="F81" s="54"/>
      <c r="G81" s="54"/>
      <c r="H81" s="54"/>
      <c r="I81" s="54"/>
      <c r="J81" s="54"/>
      <c r="K81" s="54"/>
      <c r="L81" s="54"/>
      <c r="M81" s="54"/>
      <c r="N81" s="54"/>
    </row>
    <row r="82" spans="1:15" ht="15" thickBot="1">
      <c r="A82" s="4" t="s">
        <v>297</v>
      </c>
      <c r="C82" s="54">
        <f>Input!$E$7-Input!$E$8</f>
        <v>97427.714999999997</v>
      </c>
      <c r="E82" s="54">
        <f>$C$82-E$47+SUM(E$28:E$30)+E$52</f>
        <v>98535.263200000001</v>
      </c>
      <c r="F82" s="54">
        <f t="shared" ref="F82:N82" si="27">E$82-F$47+SUM(F$28:F$30)+F$52</f>
        <v>102393.92010971201</v>
      </c>
      <c r="G82" s="54">
        <f t="shared" si="27"/>
        <v>107548.2247893357</v>
      </c>
      <c r="H82" s="54">
        <f t="shared" si="27"/>
        <v>111007.32398060142</v>
      </c>
      <c r="I82" s="54">
        <f t="shared" si="27"/>
        <v>115025.85176574485</v>
      </c>
      <c r="J82" s="54">
        <f t="shared" si="27"/>
        <v>119273.25908546934</v>
      </c>
      <c r="K82" s="54">
        <f t="shared" si="27"/>
        <v>124424.41866321831</v>
      </c>
      <c r="L82" s="54">
        <f t="shared" si="27"/>
        <v>129186.65073835533</v>
      </c>
      <c r="M82" s="54">
        <f t="shared" si="27"/>
        <v>134127.80028524168</v>
      </c>
      <c r="N82" s="54">
        <f t="shared" si="27"/>
        <v>137809.56433590272</v>
      </c>
    </row>
    <row r="83" spans="1:15" ht="15" thickBot="1">
      <c r="A83" s="4" t="s">
        <v>298</v>
      </c>
      <c r="C83" s="54"/>
      <c r="E83" s="54">
        <f>C83-E64</f>
        <v>0</v>
      </c>
      <c r="F83" s="54">
        <f>E83-F64</f>
        <v>0</v>
      </c>
      <c r="G83" s="54">
        <f t="shared" ref="G83:N83" si="28">F83-G64</f>
        <v>0</v>
      </c>
      <c r="H83" s="54">
        <f t="shared" si="28"/>
        <v>749.80170098363897</v>
      </c>
      <c r="I83" s="54">
        <f t="shared" si="28"/>
        <v>749.80170098363897</v>
      </c>
      <c r="J83" s="54">
        <f t="shared" si="28"/>
        <v>749.80170098363897</v>
      </c>
      <c r="K83" s="54">
        <f t="shared" si="28"/>
        <v>749.80170098363897</v>
      </c>
      <c r="L83" s="54">
        <f t="shared" si="28"/>
        <v>749.80170098363897</v>
      </c>
      <c r="M83" s="54">
        <f t="shared" si="28"/>
        <v>749.80170098363897</v>
      </c>
      <c r="N83" s="54">
        <f t="shared" si="28"/>
        <v>749.80170098363897</v>
      </c>
    </row>
    <row r="84" spans="1:15" ht="15" thickBot="1">
      <c r="A84" s="85" t="s">
        <v>299</v>
      </c>
      <c r="C84" s="11">
        <f>SUM(C80:C83)</f>
        <v>98175.714999999997</v>
      </c>
      <c r="E84" s="11">
        <f t="shared" ref="E84:N84" si="29">SUM(E80:E83)</f>
        <v>99283.063280000002</v>
      </c>
      <c r="F84" s="11">
        <f t="shared" si="29"/>
        <v>103141.40632971202</v>
      </c>
      <c r="G84" s="11">
        <f t="shared" si="29"/>
        <v>108295.7111193357</v>
      </c>
      <c r="H84" s="11">
        <f t="shared" si="29"/>
        <v>112504.61212158506</v>
      </c>
      <c r="I84" s="11">
        <f t="shared" si="29"/>
        <v>116523.13998672849</v>
      </c>
      <c r="J84" s="11">
        <f t="shared" si="29"/>
        <v>120770.54739645298</v>
      </c>
      <c r="K84" s="11">
        <f t="shared" si="29"/>
        <v>125921.09169693927</v>
      </c>
      <c r="L84" s="11">
        <f t="shared" si="29"/>
        <v>130682.44614337177</v>
      </c>
      <c r="M84" s="11">
        <f t="shared" si="29"/>
        <v>135622.12799907287</v>
      </c>
      <c r="N84" s="11">
        <f t="shared" si="29"/>
        <v>139302.14562989798</v>
      </c>
    </row>
    <row r="85" spans="1:15" ht="5.25" customHeight="1" thickBot="1">
      <c r="A85" s="4"/>
      <c r="C85" s="89"/>
      <c r="E85" s="89"/>
      <c r="F85" s="89"/>
      <c r="G85" s="89"/>
      <c r="H85" s="89"/>
      <c r="I85" s="89"/>
      <c r="J85" s="89"/>
      <c r="K85" s="89"/>
      <c r="L85" s="89"/>
      <c r="M85" s="89"/>
      <c r="N85" s="89"/>
    </row>
    <row r="86" spans="1:15" ht="15" thickBot="1">
      <c r="A86" s="43" t="s">
        <v>300</v>
      </c>
      <c r="C86" s="3"/>
      <c r="E86" s="3"/>
      <c r="F86" s="3"/>
      <c r="G86" s="3"/>
      <c r="H86" s="3"/>
      <c r="I86" s="3"/>
      <c r="J86" s="3"/>
      <c r="K86" s="3"/>
      <c r="L86" s="3"/>
      <c r="M86" s="3"/>
      <c r="N86" s="3"/>
      <c r="O86" s="83"/>
    </row>
    <row r="87" spans="1:15" ht="15" thickBot="1">
      <c r="A87" s="4" t="s">
        <v>301</v>
      </c>
      <c r="C87" s="54"/>
      <c r="E87" s="54"/>
      <c r="F87" s="54"/>
      <c r="G87" s="54"/>
      <c r="H87" s="54"/>
      <c r="I87" s="54"/>
      <c r="J87" s="54"/>
      <c r="K87" s="54"/>
      <c r="L87" s="54"/>
      <c r="M87" s="54"/>
      <c r="N87" s="54"/>
    </row>
    <row r="88" spans="1:15" ht="15" thickBot="1">
      <c r="A88" s="4" t="s">
        <v>302</v>
      </c>
      <c r="C88" s="54"/>
      <c r="E88" s="54"/>
      <c r="F88" s="54"/>
      <c r="G88" s="54"/>
      <c r="H88" s="54"/>
      <c r="I88" s="54"/>
      <c r="J88" s="54"/>
      <c r="K88" s="54"/>
      <c r="L88" s="54"/>
      <c r="M88" s="54"/>
      <c r="N88" s="54"/>
    </row>
    <row r="89" spans="1:15" ht="15" thickBot="1">
      <c r="A89" s="4" t="s">
        <v>303</v>
      </c>
      <c r="C89" s="54">
        <f>Input!$E$10-C$87</f>
        <v>1390.08</v>
      </c>
      <c r="E89" s="54">
        <f>$C$89+E69+E70</f>
        <v>1425.7514200000001</v>
      </c>
      <c r="F89" s="54">
        <f t="shared" ref="F89:N89" si="30">E$89+F69+F70</f>
        <v>3177.9025299999998</v>
      </c>
      <c r="G89" s="54">
        <f t="shared" si="30"/>
        <v>5735.0776399999995</v>
      </c>
      <c r="H89" s="54">
        <f t="shared" si="30"/>
        <v>8155.7684561372871</v>
      </c>
      <c r="I89" s="54">
        <f t="shared" si="30"/>
        <v>9966.3963865640053</v>
      </c>
      <c r="J89" s="54">
        <f t="shared" si="30"/>
        <v>12341.366762618212</v>
      </c>
      <c r="K89" s="54">
        <f t="shared" si="30"/>
        <v>14995.976479342065</v>
      </c>
      <c r="L89" s="54">
        <f t="shared" si="30"/>
        <v>17403.730943707273</v>
      </c>
      <c r="M89" s="54">
        <f t="shared" si="30"/>
        <v>19266.935128458084</v>
      </c>
      <c r="N89" s="54">
        <f t="shared" si="30"/>
        <v>20552.434787588343</v>
      </c>
    </row>
    <row r="90" spans="1:15" ht="15" thickBot="1">
      <c r="A90" s="4" t="s">
        <v>304</v>
      </c>
      <c r="C90" s="54"/>
      <c r="E90" s="54"/>
      <c r="F90" s="54"/>
      <c r="G90" s="54"/>
      <c r="H90" s="54"/>
      <c r="I90" s="54"/>
      <c r="J90" s="54"/>
      <c r="K90" s="54"/>
      <c r="L90" s="54"/>
      <c r="M90" s="54"/>
      <c r="N90" s="54"/>
    </row>
    <row r="91" spans="1:15" ht="15" thickBot="1">
      <c r="A91" s="85" t="s">
        <v>305</v>
      </c>
      <c r="C91" s="11">
        <f>SUM(C87:C90)</f>
        <v>1390.08</v>
      </c>
      <c r="E91" s="10">
        <f t="shared" ref="E91:N91" si="31">SUM(E87:E90)</f>
        <v>1425.7514200000001</v>
      </c>
      <c r="F91" s="11">
        <f t="shared" si="31"/>
        <v>3177.9025299999998</v>
      </c>
      <c r="G91" s="11">
        <f t="shared" si="31"/>
        <v>5735.0776399999995</v>
      </c>
      <c r="H91" s="11">
        <f t="shared" si="31"/>
        <v>8155.7684561372871</v>
      </c>
      <c r="I91" s="11">
        <f t="shared" si="31"/>
        <v>9966.3963865640053</v>
      </c>
      <c r="J91" s="11">
        <f t="shared" si="31"/>
        <v>12341.366762618212</v>
      </c>
      <c r="K91" s="11">
        <f t="shared" si="31"/>
        <v>14995.976479342065</v>
      </c>
      <c r="L91" s="11">
        <f t="shared" si="31"/>
        <v>17403.730943707273</v>
      </c>
      <c r="M91" s="11">
        <f t="shared" si="31"/>
        <v>19266.935128458084</v>
      </c>
      <c r="N91" s="11">
        <f t="shared" si="31"/>
        <v>20552.434787588343</v>
      </c>
    </row>
    <row r="92" spans="1:15" ht="5.25" customHeight="1" thickBot="1">
      <c r="A92" s="4"/>
      <c r="C92" s="54"/>
      <c r="E92" s="54"/>
      <c r="F92" s="89"/>
      <c r="G92" s="89"/>
      <c r="H92" s="89"/>
      <c r="I92" s="89"/>
      <c r="J92" s="89"/>
      <c r="K92" s="89"/>
      <c r="L92" s="89"/>
      <c r="M92" s="89"/>
      <c r="N92" s="89"/>
    </row>
    <row r="93" spans="1:15" ht="15" thickBot="1">
      <c r="A93" s="85" t="s">
        <v>306</v>
      </c>
      <c r="C93" s="11">
        <f>C84-C91</f>
        <v>96785.634999999995</v>
      </c>
      <c r="E93" s="11">
        <f t="shared" ref="E93:N93" si="32">E84-E91</f>
        <v>97857.311860000002</v>
      </c>
      <c r="F93" s="11">
        <f t="shared" si="32"/>
        <v>99963.503799712009</v>
      </c>
      <c r="G93" s="11">
        <f t="shared" si="32"/>
        <v>102560.63347933569</v>
      </c>
      <c r="H93" s="11">
        <f t="shared" si="32"/>
        <v>104348.84366544777</v>
      </c>
      <c r="I93" s="11">
        <f t="shared" si="32"/>
        <v>106556.74360016448</v>
      </c>
      <c r="J93" s="11">
        <f t="shared" si="32"/>
        <v>108429.18063383477</v>
      </c>
      <c r="K93" s="11">
        <f t="shared" si="32"/>
        <v>110925.11521759721</v>
      </c>
      <c r="L93" s="11">
        <f t="shared" si="32"/>
        <v>113278.7151996645</v>
      </c>
      <c r="M93" s="11">
        <f t="shared" si="32"/>
        <v>116355.19287061479</v>
      </c>
      <c r="N93" s="11">
        <f t="shared" si="32"/>
        <v>118749.71084230964</v>
      </c>
    </row>
    <row r="94" spans="1:15" ht="5.25" customHeight="1" thickBot="1">
      <c r="A94" s="4"/>
      <c r="C94" s="89"/>
      <c r="E94" s="89"/>
      <c r="F94" s="89"/>
      <c r="G94" s="89"/>
      <c r="H94" s="89"/>
      <c r="I94" s="89"/>
      <c r="J94" s="89"/>
      <c r="K94" s="89"/>
      <c r="L94" s="89"/>
      <c r="M94" s="89"/>
      <c r="N94" s="89"/>
    </row>
    <row r="95" spans="1:15" ht="15" thickBot="1">
      <c r="A95" s="43" t="s">
        <v>307</v>
      </c>
      <c r="C95" s="3"/>
      <c r="E95" s="3"/>
      <c r="F95" s="3"/>
      <c r="G95" s="3"/>
      <c r="H95" s="3"/>
      <c r="I95" s="3"/>
      <c r="J95" s="3"/>
      <c r="K95" s="3"/>
      <c r="L95" s="3"/>
      <c r="M95" s="3"/>
      <c r="N95" s="3"/>
      <c r="O95" s="83"/>
    </row>
    <row r="96" spans="1:15" ht="15" thickBot="1">
      <c r="A96" s="4" t="s">
        <v>308</v>
      </c>
      <c r="C96" s="54">
        <f>Input!$E$12</f>
        <v>0</v>
      </c>
      <c r="E96" s="54">
        <f>$C$96+E$52</f>
        <v>1474.5260600000015</v>
      </c>
      <c r="F96" s="54">
        <f t="shared" ref="F96:N96" si="33">E$96+F$52</f>
        <v>3722.7638597120012</v>
      </c>
      <c r="G96" s="54">
        <f t="shared" si="33"/>
        <v>6251.1954293356885</v>
      </c>
      <c r="H96" s="54">
        <f t="shared" si="33"/>
        <v>8715.3381506013975</v>
      </c>
      <c r="I96" s="54">
        <f t="shared" si="33"/>
        <v>11666.971035744842</v>
      </c>
      <c r="J96" s="54">
        <f t="shared" si="33"/>
        <v>14297.81547438533</v>
      </c>
      <c r="K96" s="54">
        <f t="shared" si="33"/>
        <v>17373.822794372398</v>
      </c>
      <c r="L96" s="54">
        <f t="shared" si="33"/>
        <v>20097.09820421322</v>
      </c>
      <c r="M96" s="54">
        <f t="shared" si="33"/>
        <v>23536.306740574444</v>
      </c>
      <c r="N96" s="54">
        <f t="shared" si="33"/>
        <v>26349.304188808321</v>
      </c>
    </row>
    <row r="97" spans="1:14" ht="15" thickBot="1">
      <c r="A97" s="4" t="s">
        <v>309</v>
      </c>
      <c r="C97" s="54">
        <f>$C$93-$C$96</f>
        <v>96785.634999999995</v>
      </c>
      <c r="E97" s="54">
        <f>$C$97+E$50</f>
        <v>96382.785799999998</v>
      </c>
      <c r="F97" s="54">
        <f t="shared" ref="F97:N97" si="34">E$97+F$50</f>
        <v>96240.739939999999</v>
      </c>
      <c r="G97" s="54">
        <f t="shared" si="34"/>
        <v>96309.438049999997</v>
      </c>
      <c r="H97" s="54">
        <f t="shared" si="34"/>
        <v>95633.505514846343</v>
      </c>
      <c r="I97" s="54">
        <f t="shared" si="34"/>
        <v>94889.772564419633</v>
      </c>
      <c r="J97" s="54">
        <f t="shared" si="34"/>
        <v>94131.365159449415</v>
      </c>
      <c r="K97" s="54">
        <f t="shared" si="34"/>
        <v>93551.29242322479</v>
      </c>
      <c r="L97" s="54">
        <f t="shared" si="34"/>
        <v>93181.616995451259</v>
      </c>
      <c r="M97" s="54">
        <f t="shared" si="34"/>
        <v>92818.886130040322</v>
      </c>
      <c r="N97" s="54">
        <f t="shared" si="34"/>
        <v>92400.406653501297</v>
      </c>
    </row>
    <row r="98" spans="1:14" ht="15" thickBot="1">
      <c r="A98" s="85" t="s">
        <v>310</v>
      </c>
      <c r="C98" s="11">
        <f>SUM(C96:C97)</f>
        <v>96785.634999999995</v>
      </c>
      <c r="E98" s="10">
        <f t="shared" ref="E98:N98" si="35">SUM(E96:E97)</f>
        <v>97857.311860000002</v>
      </c>
      <c r="F98" s="10">
        <f t="shared" si="35"/>
        <v>99963.503799711994</v>
      </c>
      <c r="G98" s="11">
        <f t="shared" si="35"/>
        <v>102560.63347933568</v>
      </c>
      <c r="H98" s="11">
        <f t="shared" si="35"/>
        <v>104348.84366544774</v>
      </c>
      <c r="I98" s="11">
        <f t="shared" si="35"/>
        <v>106556.74360016448</v>
      </c>
      <c r="J98" s="11">
        <f t="shared" si="35"/>
        <v>108429.18063383474</v>
      </c>
      <c r="K98" s="11">
        <f t="shared" si="35"/>
        <v>110925.11521759719</v>
      </c>
      <c r="L98" s="11">
        <f t="shared" si="35"/>
        <v>113278.71519966448</v>
      </c>
      <c r="M98" s="11">
        <f t="shared" si="35"/>
        <v>116355.19287061476</v>
      </c>
      <c r="N98" s="11">
        <f t="shared" si="35"/>
        <v>118749.71084230962</v>
      </c>
    </row>
  </sheetData>
  <pageMargins left="0.7" right="0.7" top="0.75" bottom="0.75" header="0.3" footer="0.3"/>
  <pageSetup paperSize="8"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113a86c99da40d58aa63fa7a6d7c24b xmlns="f3b9fd03-0889-4d51-bd8f-1187a7c244ba">
      <Terms xmlns="http://schemas.microsoft.com/office/infopath/2007/PartnerControls">
        <TermInfo xmlns="http://schemas.microsoft.com/office/infopath/2007/PartnerControls">
          <TermName xmlns="http://schemas.microsoft.com/office/infopath/2007/PartnerControls">Working Docs</TermName>
          <TermId xmlns="http://schemas.microsoft.com/office/infopath/2007/PartnerControls">0bb43b32-7ab0-45b3-a871-71680d39500b</TermId>
        </TermInfo>
      </Terms>
    </n113a86c99da40d58aa63fa7a6d7c24b>
    <ccc95de9a77e419b9f0c198cec6da4c0 xmlns="f3b9fd03-0889-4d51-bd8f-1187a7c244ba">
      <Terms xmlns="http://schemas.microsoft.com/office/infopath/2007/PartnerControls">
        <TermInfo xmlns="http://schemas.microsoft.com/office/infopath/2007/PartnerControls">
          <TermName xmlns="http://schemas.microsoft.com/office/infopath/2007/PartnerControls">SDP</TermName>
          <TermId xmlns="http://schemas.microsoft.com/office/infopath/2007/PartnerControls">13c0bb22-549c-4c9c-8b07-d7e6f134aea5</TermId>
        </TermInfo>
      </Terms>
    </ccc95de9a77e419b9f0c198cec6da4c0>
    <TaxCatchAll xmlns="f3b9fd03-0889-4d51-bd8f-1187a7c244ba">
      <Value>2</Value>
      <Value>3</Value>
    </TaxCatchAll>
    <_dlc_DocId xmlns="b51a3243-426c-4beb-8180-cc28778a799c">NPU4WK76DJ5N-1713394859-180</_dlc_DocId>
    <_dlc_DocIdUrl xmlns="b51a3243-426c-4beb-8180-cc28778a799c">
      <Url>https://martinjenkins.sharepoint.com/sites/SouthWairarapaDistrictCouncil/_layouts/15/DocIdRedir.aspx?ID=NPU4WK76DJ5N-1713394859-180</Url>
      <Description>NPU4WK76DJ5N-1713394859-180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f8d9cf72-2d5d-413b-b73f-c1879ccadfcc" ContentTypeId="0x0101001D6B8EECF106BB419C03AD670A4727B7" PreviousValue="false" LastSyncTimeStamp="2021-11-04T01:19:18.133Z"/>
</file>

<file path=customXml/item5.xml><?xml version="1.0" encoding="utf-8"?>
<ct:contentTypeSchema xmlns:ct="http://schemas.microsoft.com/office/2006/metadata/contentType" xmlns:ma="http://schemas.microsoft.com/office/2006/metadata/properties/metaAttributes" ct:_="" ma:_="" ma:contentTypeName="Consultant Document" ma:contentTypeID="0x0101001D6B8EECF106BB419C03AD670A4727B700BE475CB87E18FD4F82CB4FBBA713CB59" ma:contentTypeVersion="6" ma:contentTypeDescription="" ma:contentTypeScope="" ma:versionID="db08a9e1c6196b2128b7453c51bf777d">
  <xsd:schema xmlns:xsd="http://www.w3.org/2001/XMLSchema" xmlns:xs="http://www.w3.org/2001/XMLSchema" xmlns:p="http://schemas.microsoft.com/office/2006/metadata/properties" xmlns:ns2="f3b9fd03-0889-4d51-bd8f-1187a7c244ba" xmlns:ns3="b51a3243-426c-4beb-8180-cc28778a799c" targetNamespace="http://schemas.microsoft.com/office/2006/metadata/properties" ma:root="true" ma:fieldsID="a9b6e037e201671935f9927242e10f65" ns2:_="" ns3:_="">
    <xsd:import namespace="f3b9fd03-0889-4d51-bd8f-1187a7c244ba"/>
    <xsd:import namespace="b51a3243-426c-4beb-8180-cc28778a799c"/>
    <xsd:element name="properties">
      <xsd:complexType>
        <xsd:sequence>
          <xsd:element name="documentManagement">
            <xsd:complexType>
              <xsd:all>
                <xsd:element ref="ns2:ccc95de9a77e419b9f0c198cec6da4c0" minOccurs="0"/>
                <xsd:element ref="ns2:TaxCatchAll" minOccurs="0"/>
                <xsd:element ref="ns2:TaxCatchAllLabel" minOccurs="0"/>
                <xsd:element ref="ns2:n113a86c99da40d58aa63fa7a6d7c24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b9fd03-0889-4d51-bd8f-1187a7c244ba" elementFormDefault="qualified">
    <xsd:import namespace="http://schemas.microsoft.com/office/2006/documentManagement/types"/>
    <xsd:import namespace="http://schemas.microsoft.com/office/infopath/2007/PartnerControls"/>
    <xsd:element name="ccc95de9a77e419b9f0c198cec6da4c0" ma:index="8" nillable="true" ma:taxonomy="true" ma:internalName="ccc95de9a77e419b9f0c198cec6da4c0" ma:taxonomyFieldName="Business_x0020_Unit" ma:displayName="Business Unit" ma:default="" ma:fieldId="{ccc95de9-a77e-419b-9f0c-198cec6da4c0}" ma:sspId="f8d9cf72-2d5d-413b-b73f-c1879ccadfcc" ma:termSetId="ec50f622-87ea-4ff2-977d-0b021d22657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1b63529-d93e-4000-9a49-bbdeabc16db6}" ma:internalName="TaxCatchAll" ma:showField="CatchAllData"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1b63529-d93e-4000-9a49-bbdeabc16db6}" ma:internalName="TaxCatchAllLabel" ma:readOnly="true" ma:showField="CatchAllDataLabel" ma:web="b51a3243-426c-4beb-8180-cc28778a799c">
      <xsd:complexType>
        <xsd:complexContent>
          <xsd:extension base="dms:MultiChoiceLookup">
            <xsd:sequence>
              <xsd:element name="Value" type="dms:Lookup" maxOccurs="unbounded" minOccurs="0" nillable="true"/>
            </xsd:sequence>
          </xsd:extension>
        </xsd:complexContent>
      </xsd:complexType>
    </xsd:element>
    <xsd:element name="n113a86c99da40d58aa63fa7a6d7c24b" ma:index="12" nillable="true" ma:taxonomy="true" ma:internalName="n113a86c99da40d58aa63fa7a6d7c24b" ma:taxonomyFieldName="Doc_x0020_Type" ma:displayName="Doc Type" ma:default="" ma:fieldId="{7113a86c-99da-40d5-8aa6-3fa7a6d7c24b}" ma:taxonomyMulti="true" ma:sspId="f8d9cf72-2d5d-413b-b73f-c1879ccadfcc" ma:termSetId="7aff5c68-1d14-4315-9bda-558a19fbb4d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1a3243-426c-4beb-8180-cc28778a799c"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B4D2E-FB42-45CD-B620-EA84174892F7}">
  <ds:schemaRefs>
    <ds:schemaRef ds:uri="http://schemas.microsoft.com/sharepoint/v3/contenttype/forms"/>
  </ds:schemaRefs>
</ds:datastoreItem>
</file>

<file path=customXml/itemProps2.xml><?xml version="1.0" encoding="utf-8"?>
<ds:datastoreItem xmlns:ds="http://schemas.openxmlformats.org/officeDocument/2006/customXml" ds:itemID="{4C7315EB-E9D1-4625-A861-07047463B970}">
  <ds:schemaRefs>
    <ds:schemaRef ds:uri="http://schemas.microsoft.com/office/2006/metadata/properties"/>
    <ds:schemaRef ds:uri="http://schemas.microsoft.com/office/infopath/2007/PartnerControls"/>
    <ds:schemaRef ds:uri="f3b9fd03-0889-4d51-bd8f-1187a7c244ba"/>
    <ds:schemaRef ds:uri="b51a3243-426c-4beb-8180-cc28778a799c"/>
  </ds:schemaRefs>
</ds:datastoreItem>
</file>

<file path=customXml/itemProps3.xml><?xml version="1.0" encoding="utf-8"?>
<ds:datastoreItem xmlns:ds="http://schemas.openxmlformats.org/officeDocument/2006/customXml" ds:itemID="{7F7848D7-EB44-4787-A7C0-7B1E85C66C93}">
  <ds:schemaRefs>
    <ds:schemaRef ds:uri="http://schemas.microsoft.com/sharepoint/events"/>
  </ds:schemaRefs>
</ds:datastoreItem>
</file>

<file path=customXml/itemProps4.xml><?xml version="1.0" encoding="utf-8"?>
<ds:datastoreItem xmlns:ds="http://schemas.openxmlformats.org/officeDocument/2006/customXml" ds:itemID="{9F3917D4-ADD3-45AC-9CC0-A7D407896CEB}">
  <ds:schemaRefs>
    <ds:schemaRef ds:uri="Microsoft.SharePoint.Taxonomy.ContentTypeSync"/>
  </ds:schemaRefs>
</ds:datastoreItem>
</file>

<file path=customXml/itemProps5.xml><?xml version="1.0" encoding="utf-8"?>
<ds:datastoreItem xmlns:ds="http://schemas.openxmlformats.org/officeDocument/2006/customXml" ds:itemID="{7D44DDC7-0311-492B-B5E6-A8229A3D04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b9fd03-0889-4d51-bd8f-1187a7c244ba"/>
    <ds:schemaRef ds:uri="b51a3243-426c-4beb-8180-cc28778a7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30ee736-9350-4b29-845a-c3944302326f}" enabled="1" method="Standard" siteId="{ed6fb0f7-ec68-46f1-b035-fe5de3a025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 Overview</vt:lpstr>
      <vt:lpstr>Input</vt:lpstr>
      <vt:lpstr>1. Charts</vt:lpstr>
      <vt:lpstr>2. Measures</vt:lpstr>
      <vt:lpstr>3. Investment</vt:lpstr>
      <vt:lpstr>4. Financials - water services</vt:lpstr>
      <vt:lpstr>5. Financials - drinking water</vt:lpstr>
      <vt:lpstr>6. Financials - wastewater</vt:lpstr>
      <vt:lpstr>7. Financials - stormwater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Chatterley</dc:creator>
  <cp:keywords/>
  <dc:description/>
  <cp:lastModifiedBy>Katherine Meerman</cp:lastModifiedBy>
  <cp:revision/>
  <dcterms:created xsi:type="dcterms:W3CDTF">2025-07-18T20:32:37Z</dcterms:created>
  <dcterms:modified xsi:type="dcterms:W3CDTF">2025-10-22T00:06:09Z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0x0101001D6B8EECF106BB419C03AD670A4727B700BE475CB87E18FD4F82CB4FBBA713CB59</vt:lpwstr>
  </property>
  <property fmtid="{D5CDD505-2E9C-101B-9397-08002B2CF9AE}" pid="3" name="_dlc_DocIdItemGuid">
    <vt:lpwstr>99928f5c-a675-4355-8ec3-e486dbda83d7</vt:lpwstr>
  </property>
  <property fmtid="{D5CDD505-2E9C-101B-9397-08002B2CF9AE}" pid="4" name="Business Unit">
    <vt:lpwstr>2;#SDP|13c0bb22-549c-4c9c-8b07-d7e6f134aea5</vt:lpwstr>
  </property>
  <property fmtid="{D5CDD505-2E9C-101B-9397-08002B2CF9AE}" pid="5" name="Doc_x0020_Type">
    <vt:lpwstr>3;#Working Docs|0bb43b32-7ab0-45b3-a871-71680d39500b</vt:lpwstr>
  </property>
  <property fmtid="{D5CDD505-2E9C-101B-9397-08002B2CF9AE}" pid="6" name="Business_x0020_Unit">
    <vt:lpwstr>2;#SDP|13c0bb22-549c-4c9c-8b07-d7e6f134aea5</vt:lpwstr>
  </property>
  <property fmtid="{D5CDD505-2E9C-101B-9397-08002B2CF9AE}" pid="7" name="Doc Type">
    <vt:lpwstr>3;#Working Docs|0bb43b32-7ab0-45b3-a871-71680d39500b</vt:lpwstr>
  </property>
</Properties>
</file>